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ivotTables/pivotTable1.xml" ContentType="application/vnd.openxmlformats-officedocument.spreadsheetml.pivotTable+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jjemp\Downloads\"/>
    </mc:Choice>
  </mc:AlternateContent>
  <bookViews>
    <workbookView xWindow="0" yWindow="0" windowWidth="28800" windowHeight="12000" firstSheet="10" activeTab="15"/>
  </bookViews>
  <sheets>
    <sheet name="MENU CAJA DE HERRAMIENTAS" sheetId="4" r:id="rId1"/>
    <sheet name="Resumen PAA 2022" sheetId="22" r:id="rId2"/>
    <sheet name="Organigrama" sheetId="21" r:id="rId3"/>
    <sheet name="GLOSARIO" sheetId="6" r:id="rId4"/>
    <sheet name="MIPPA 1" sheetId="17" r:id="rId5"/>
    <sheet name="CONOCIMIENTO ENT" sheetId="9" r:id="rId6"/>
    <sheet name="PRIORIZACIÓN (2)" sheetId="20" r:id="rId7"/>
    <sheet name="MIPPA 1.1" sheetId="19" r:id="rId8"/>
    <sheet name="ANALISIS OCI" sheetId="3" r:id="rId9"/>
    <sheet name="MET CALCULO RECURSOS" sheetId="11" r:id="rId10"/>
    <sheet name="1. Horas requeridas PAAI" sheetId="12" r:id="rId11"/>
    <sheet name="MIPPA 2" sheetId="18" r:id="rId12"/>
    <sheet name="PRIORIZACIÓN" sheetId="1" r:id="rId13"/>
    <sheet name="2. Días -horas hábiles x vig" sheetId="13" r:id="rId14"/>
    <sheet name="Adquisiciones" sheetId="23" state="hidden" r:id="rId15"/>
    <sheet name="PAA OCI  " sheetId="5" r:id="rId16"/>
  </sheets>
  <externalReferences>
    <externalReference r:id="rId17"/>
    <externalReference r:id="rId18"/>
  </externalReferences>
  <definedNames>
    <definedName name="_xlnm._FilterDatabase" localSheetId="8" hidden="1">'ANALISIS OCI'!$C$9:$C$88</definedName>
    <definedName name="_xlnm._FilterDatabase" localSheetId="3" hidden="1">GLOSARIO!$A$1:$A$3</definedName>
    <definedName name="_xlnm._FilterDatabase" localSheetId="15" hidden="1">'PAA OCI  '!$A$1:$V$8</definedName>
    <definedName name="_xlnm._FilterDatabase" localSheetId="12" hidden="1">PRIORIZACIÓN!$Q$12:$Q$29</definedName>
    <definedName name="_ftn1" localSheetId="3">GLOSARIO!$A$19</definedName>
    <definedName name="_ftn2" localSheetId="3">GLOSARIO!$A$21</definedName>
    <definedName name="_ftn3" localSheetId="3">GLOSARIO!$A$22</definedName>
    <definedName name="_ftn4" localSheetId="3">GLOSARIO!$A$23</definedName>
    <definedName name="_ftn5" localSheetId="3">GLOSARIO!$A$24</definedName>
    <definedName name="_ftn6" localSheetId="3">GLOSARIO!$A$25</definedName>
    <definedName name="_ftn7" localSheetId="3">GLOSARIO!$A$26</definedName>
    <definedName name="_ftn8" localSheetId="3">GLOSARIO!$A$27</definedName>
    <definedName name="_ftnref1" localSheetId="3">GLOSARIO!$A$4</definedName>
    <definedName name="_ftnref2" localSheetId="3">GLOSARIO!$A$6</definedName>
    <definedName name="_ftnref3" localSheetId="3">GLOSARIO!$A$7</definedName>
    <definedName name="_ftnref4" localSheetId="3">GLOSARIO!$A$8</definedName>
    <definedName name="_ftnref5" localSheetId="3">GLOSARIO!$A$9</definedName>
    <definedName name="_ftnref6" localSheetId="3">GLOSARIO!$A$11</definedName>
    <definedName name="_ftnref7" localSheetId="3">GLOSARIO!$A$12</definedName>
    <definedName name="_ftnref8" localSheetId="3">GLOSARIO!$A$13</definedName>
    <definedName name="_xlnm.Print_Area" localSheetId="15">'PAA OCI  '!$A$1:$Y$90</definedName>
    <definedName name="DOCUMENTO_RELACIONADO" comment="Registre el documento o soporte del ítem en cuestión. (Físico o Magnético)">'CONOCIMIENTO ENT'!$C$5</definedName>
    <definedName name="riskprob">[1]Lookup!$B$2:$B$5</definedName>
    <definedName name="_xlnm.Print_Titles" localSheetId="15">'PAA OCI  '!$13:$16</definedName>
  </definedNames>
  <calcPr calcId="152511"/>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 i="20" l="1"/>
  <c r="S18" i="20" s="1"/>
  <c r="P18" i="20"/>
  <c r="N18" i="20"/>
  <c r="B18" i="20"/>
  <c r="B19" i="20"/>
  <c r="B30" i="1" l="1"/>
  <c r="B31" i="1"/>
  <c r="B32" i="1"/>
  <c r="B33" i="1"/>
  <c r="B34" i="1"/>
  <c r="B35" i="1"/>
  <c r="N32" i="3"/>
  <c r="L32" i="3"/>
  <c r="J32" i="3"/>
  <c r="H32" i="3"/>
  <c r="F32" i="3"/>
  <c r="D32" i="3"/>
  <c r="A28" i="3"/>
  <c r="A29" i="3"/>
  <c r="A30" i="3"/>
  <c r="A31" i="3"/>
  <c r="A32" i="3"/>
  <c r="A33" i="3"/>
  <c r="A34" i="3"/>
  <c r="A35" i="3"/>
  <c r="A36" i="3"/>
  <c r="A17" i="3"/>
  <c r="A18" i="3"/>
  <c r="A19" i="3"/>
  <c r="A20" i="3"/>
  <c r="A21" i="3"/>
  <c r="A22" i="3"/>
  <c r="A23" i="3"/>
  <c r="A24" i="3"/>
  <c r="A25" i="3"/>
  <c r="A26" i="3"/>
  <c r="A27" i="3"/>
  <c r="A16" i="3"/>
  <c r="B12" i="20" l="1"/>
  <c r="A10" i="3" s="1"/>
  <c r="B13" i="20"/>
  <c r="A11" i="3" s="1"/>
  <c r="B14" i="20"/>
  <c r="A12" i="3" s="1"/>
  <c r="B15" i="20"/>
  <c r="A13" i="3" s="1"/>
  <c r="B16" i="20"/>
  <c r="A14" i="3" s="1"/>
  <c r="B17" i="20"/>
  <c r="A15" i="3" s="1"/>
  <c r="B11" i="20"/>
  <c r="C20" i="12" l="1"/>
  <c r="C14" i="12"/>
  <c r="C15" i="12"/>
  <c r="C16" i="12"/>
  <c r="C17" i="12"/>
  <c r="C18" i="12"/>
  <c r="C19" i="12"/>
  <c r="G55" i="12" l="1"/>
  <c r="I55" i="12" s="1"/>
  <c r="G52" i="12"/>
  <c r="I52" i="12" s="1"/>
  <c r="G51" i="12"/>
  <c r="I51" i="12" s="1"/>
  <c r="E24" i="12"/>
  <c r="E25" i="12"/>
  <c r="E26" i="12"/>
  <c r="E27" i="12"/>
  <c r="E28" i="12"/>
  <c r="E30" i="12"/>
  <c r="E31" i="12"/>
  <c r="E32" i="12"/>
  <c r="E34" i="12"/>
  <c r="E40" i="12"/>
  <c r="E41" i="12"/>
  <c r="E45" i="12"/>
  <c r="G29" i="12"/>
  <c r="G36" i="12"/>
  <c r="G37" i="12"/>
  <c r="G47" i="12"/>
  <c r="G49" i="12"/>
  <c r="C51" i="12"/>
  <c r="C52" i="12"/>
  <c r="C53" i="12"/>
  <c r="C54" i="12"/>
  <c r="C55" i="12"/>
  <c r="C50" i="12"/>
  <c r="G53" i="12"/>
  <c r="I53" i="12" s="1"/>
  <c r="G54" i="12"/>
  <c r="I54" i="12" s="1"/>
  <c r="C68" i="12"/>
  <c r="G19" i="12"/>
  <c r="I19" i="12" s="1"/>
  <c r="G20" i="12"/>
  <c r="I20" i="12" s="1"/>
  <c r="G72" i="12"/>
  <c r="G71" i="12"/>
  <c r="G70" i="12"/>
  <c r="G69" i="12"/>
  <c r="G68" i="12"/>
  <c r="G67" i="12"/>
  <c r="C67" i="12"/>
  <c r="F66" i="12"/>
  <c r="D66" i="12"/>
  <c r="C66" i="12"/>
  <c r="G65" i="12"/>
  <c r="C65" i="12"/>
  <c r="G64" i="12"/>
  <c r="C64" i="12"/>
  <c r="G63" i="12"/>
  <c r="C63" i="12"/>
  <c r="G62" i="12"/>
  <c r="C62" i="12"/>
  <c r="G61" i="12"/>
  <c r="C61" i="12"/>
  <c r="G60" i="12"/>
  <c r="C60" i="12"/>
  <c r="G59" i="12"/>
  <c r="C59" i="12"/>
  <c r="G58" i="12"/>
  <c r="C58" i="12"/>
  <c r="G57" i="12"/>
  <c r="C57" i="12"/>
  <c r="G56" i="12"/>
  <c r="C56" i="12"/>
  <c r="G50" i="12"/>
  <c r="C49" i="12"/>
  <c r="G48" i="12"/>
  <c r="C48" i="12"/>
  <c r="C47" i="12"/>
  <c r="G46" i="12"/>
  <c r="C46" i="12"/>
  <c r="F45" i="12"/>
  <c r="C45" i="12"/>
  <c r="G44" i="12"/>
  <c r="C44" i="12"/>
  <c r="G43" i="12"/>
  <c r="C43" i="12"/>
  <c r="G42" i="12"/>
  <c r="C42" i="12"/>
  <c r="F41" i="12"/>
  <c r="C41" i="12"/>
  <c r="F40" i="12"/>
  <c r="D40" i="12"/>
  <c r="C40" i="12"/>
  <c r="D39" i="12"/>
  <c r="G39" i="12" s="1"/>
  <c r="C39" i="12"/>
  <c r="G38" i="12"/>
  <c r="C38" i="12"/>
  <c r="C37" i="12"/>
  <c r="C36" i="12"/>
  <c r="G35" i="12"/>
  <c r="C35" i="12"/>
  <c r="F34" i="12"/>
  <c r="D34" i="12"/>
  <c r="C34" i="12"/>
  <c r="G33" i="12"/>
  <c r="C33" i="12"/>
  <c r="F32" i="12"/>
  <c r="C32" i="12"/>
  <c r="F31" i="12"/>
  <c r="C31" i="12"/>
  <c r="F30" i="12"/>
  <c r="C30" i="12"/>
  <c r="C29" i="12"/>
  <c r="F28" i="12"/>
  <c r="D28" i="12"/>
  <c r="C28" i="12"/>
  <c r="F27" i="12"/>
  <c r="C27" i="12"/>
  <c r="F26" i="12"/>
  <c r="G26" i="12" s="1"/>
  <c r="C26" i="12"/>
  <c r="D25" i="12"/>
  <c r="C25" i="12"/>
  <c r="G45" i="12" l="1"/>
  <c r="G31" i="12"/>
  <c r="G28" i="12"/>
  <c r="G34" i="12"/>
  <c r="G25" i="12"/>
  <c r="G30" i="12"/>
  <c r="G66" i="12"/>
  <c r="G27" i="12"/>
  <c r="G32" i="12"/>
  <c r="G40" i="12"/>
  <c r="G41" i="12"/>
  <c r="A19" i="5"/>
  <c r="A20" i="5" s="1"/>
  <c r="A21" i="5" s="1"/>
  <c r="A22" i="5" s="1"/>
  <c r="A23" i="5" l="1"/>
  <c r="A24" i="5" s="1"/>
  <c r="A25" i="5" s="1"/>
  <c r="A26" i="5" s="1"/>
  <c r="A27" i="5" l="1"/>
  <c r="A28" i="5" s="1"/>
  <c r="A30" i="5" s="1"/>
  <c r="A31"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7" i="5" s="1"/>
  <c r="A68" i="5" s="1"/>
  <c r="A69" i="5" s="1"/>
  <c r="A71" i="5" s="1"/>
  <c r="A72" i="5" s="1"/>
  <c r="A73" i="5" s="1"/>
  <c r="A74" i="5" s="1"/>
  <c r="A75" i="5" l="1"/>
  <c r="A76" i="5" s="1"/>
  <c r="A77" i="5" s="1"/>
  <c r="A78" i="5" s="1"/>
  <c r="A79" i="5" s="1"/>
  <c r="O10" i="23"/>
  <c r="O9" i="23"/>
  <c r="O8" i="23"/>
  <c r="O7" i="23"/>
  <c r="O6" i="23"/>
  <c r="O5" i="23"/>
  <c r="O4" i="23"/>
  <c r="O3" i="23"/>
  <c r="C22" i="12"/>
  <c r="C21" i="12"/>
  <c r="C13" i="12"/>
  <c r="I64" i="12" l="1"/>
  <c r="I27" i="12" l="1"/>
  <c r="B23" i="1"/>
  <c r="B24" i="1"/>
  <c r="B25" i="1"/>
  <c r="B26" i="1"/>
  <c r="B27" i="1"/>
  <c r="B28" i="1"/>
  <c r="B29" i="1"/>
  <c r="G21" i="12"/>
  <c r="G22" i="12"/>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B20" i="1"/>
  <c r="B13" i="1"/>
  <c r="B14" i="1"/>
  <c r="B16" i="1"/>
  <c r="B17" i="1"/>
  <c r="B18" i="1"/>
  <c r="B21" i="1" l="1"/>
  <c r="B19" i="1"/>
  <c r="B15" i="1"/>
  <c r="B22" i="1"/>
  <c r="G6" i="13" l="1"/>
  <c r="D24" i="12"/>
  <c r="G23" i="12" l="1"/>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C24" i="12"/>
  <c r="C23" i="12"/>
  <c r="M20" i="1" l="1"/>
  <c r="O14" i="1"/>
  <c r="P14" i="1" s="1"/>
  <c r="O15" i="1"/>
  <c r="P15" i="1" s="1"/>
  <c r="O16" i="1"/>
  <c r="P16" i="1" s="1"/>
  <c r="O18" i="1"/>
  <c r="P18" i="1" s="1"/>
  <c r="O19" i="1"/>
  <c r="P19" i="1" s="1"/>
  <c r="N20" i="1"/>
  <c r="O20" i="1" s="1"/>
  <c r="P20" i="1" s="1"/>
  <c r="N21" i="1"/>
  <c r="N22" i="1"/>
  <c r="N23" i="1"/>
  <c r="O23" i="1" s="1"/>
  <c r="P23" i="1" s="1"/>
  <c r="N24" i="1"/>
  <c r="O24" i="1" s="1"/>
  <c r="P24" i="1" s="1"/>
  <c r="N25" i="1"/>
  <c r="O25" i="1" s="1"/>
  <c r="P25" i="1" s="1"/>
  <c r="N26" i="1"/>
  <c r="O26" i="1" s="1"/>
  <c r="P26" i="1" s="1"/>
  <c r="N27" i="1"/>
  <c r="O27" i="1" s="1"/>
  <c r="P27" i="1" s="1"/>
  <c r="N28" i="1"/>
  <c r="N29" i="1"/>
  <c r="O29" i="1" s="1"/>
  <c r="P29" i="1" s="1"/>
  <c r="O12" i="1"/>
  <c r="P12" i="1" s="1"/>
  <c r="T12" i="1" s="1"/>
  <c r="B12" i="1"/>
  <c r="Q10" i="3"/>
  <c r="R10" i="3"/>
  <c r="S10" i="3"/>
  <c r="T10" i="3"/>
  <c r="U10" i="3"/>
  <c r="V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26" i="3"/>
  <c r="R26" i="3"/>
  <c r="S26" i="3"/>
  <c r="T26" i="3"/>
  <c r="U26" i="3"/>
  <c r="V26" i="3"/>
  <c r="W26" i="3"/>
  <c r="C92" i="20"/>
  <c r="D92" i="20"/>
  <c r="E92" i="20"/>
  <c r="F92" i="20"/>
  <c r="C93" i="20"/>
  <c r="D93" i="20"/>
  <c r="E93" i="20"/>
  <c r="F93" i="20"/>
  <c r="R12" i="20"/>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J92" i="20"/>
  <c r="K92" i="20" s="1"/>
  <c r="J93" i="20"/>
  <c r="K93" i="20" s="1"/>
  <c r="M23" i="1"/>
  <c r="K23" i="1"/>
  <c r="O22" i="1"/>
  <c r="P22" i="1" s="1"/>
  <c r="M22" i="1"/>
  <c r="K22" i="1"/>
  <c r="R22" i="20"/>
  <c r="S22" i="20" s="1"/>
  <c r="P22" i="20"/>
  <c r="N22" i="20"/>
  <c r="R21" i="20"/>
  <c r="S21" i="20" s="1"/>
  <c r="P21" i="20"/>
  <c r="N21" i="20"/>
  <c r="H101" i="12"/>
  <c r="I63" i="12"/>
  <c r="I62" i="12"/>
  <c r="I56" i="12"/>
  <c r="I48" i="12"/>
  <c r="I41" i="12"/>
  <c r="I39" i="12"/>
  <c r="I32" i="12"/>
  <c r="I31" i="12"/>
  <c r="I26" i="12"/>
  <c r="I21" i="12"/>
  <c r="G17" i="12"/>
  <c r="I17" i="12" s="1"/>
  <c r="G16" i="12"/>
  <c r="I16" i="12" s="1"/>
  <c r="G15" i="12"/>
  <c r="I15" i="12" s="1"/>
  <c r="G13" i="12"/>
  <c r="G14" i="12"/>
  <c r="I14" i="12" s="1"/>
  <c r="I30" i="12"/>
  <c r="I42" i="12"/>
  <c r="I45" i="12"/>
  <c r="I60" i="12"/>
  <c r="I66" i="12"/>
  <c r="I71" i="12"/>
  <c r="I72" i="12"/>
  <c r="I77" i="12"/>
  <c r="I85" i="12"/>
  <c r="I87" i="12"/>
  <c r="I90" i="12"/>
  <c r="I93" i="12"/>
  <c r="I95" i="12"/>
  <c r="I68" i="12"/>
  <c r="I70" i="12"/>
  <c r="I76" i="12"/>
  <c r="I86" i="12"/>
  <c r="I94" i="12"/>
  <c r="I47" i="12"/>
  <c r="I67" i="12"/>
  <c r="I91" i="12"/>
  <c r="I46" i="12"/>
  <c r="I99" i="12"/>
  <c r="I92" i="12"/>
  <c r="I37" i="12"/>
  <c r="I98" i="12"/>
  <c r="D6" i="13"/>
  <c r="H6" i="13" s="1"/>
  <c r="I28" i="12"/>
  <c r="I29" i="12"/>
  <c r="I57" i="12"/>
  <c r="I65" i="12"/>
  <c r="I73" i="12"/>
  <c r="I79" i="12"/>
  <c r="I81" i="12"/>
  <c r="I89" i="12"/>
  <c r="I97" i="12"/>
  <c r="R11" i="20"/>
  <c r="S11" i="20" s="1"/>
  <c r="W9" i="3"/>
  <c r="V9" i="3"/>
  <c r="U9" i="3"/>
  <c r="T9" i="3"/>
  <c r="S9" i="3"/>
  <c r="R9" i="3"/>
  <c r="Q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44" i="3"/>
  <c r="L44" i="3"/>
  <c r="P44" i="3"/>
  <c r="F45" i="3"/>
  <c r="L45" i="3"/>
  <c r="P45" i="3"/>
  <c r="F46" i="3"/>
  <c r="L46" i="3"/>
  <c r="P46" i="3"/>
  <c r="F47" i="3"/>
  <c r="L47" i="3"/>
  <c r="P47" i="3"/>
  <c r="F48" i="3"/>
  <c r="L48" i="3"/>
  <c r="P48" i="3"/>
  <c r="F49" i="3"/>
  <c r="L49" i="3"/>
  <c r="P49" i="3"/>
  <c r="F50" i="3"/>
  <c r="L50" i="3"/>
  <c r="P50" i="3"/>
  <c r="F51" i="3"/>
  <c r="L51" i="3"/>
  <c r="P51" i="3"/>
  <c r="F52" i="3"/>
  <c r="L52" i="3"/>
  <c r="P52" i="3"/>
  <c r="F53" i="3"/>
  <c r="L53" i="3"/>
  <c r="P53" i="3"/>
  <c r="F54" i="3"/>
  <c r="L54" i="3"/>
  <c r="P54" i="3"/>
  <c r="F55" i="3"/>
  <c r="L55" i="3"/>
  <c r="P55" i="3"/>
  <c r="F56" i="3"/>
  <c r="L56" i="3"/>
  <c r="P56" i="3"/>
  <c r="F57" i="3"/>
  <c r="L57" i="3"/>
  <c r="P57" i="3"/>
  <c r="F58" i="3"/>
  <c r="L58" i="3"/>
  <c r="P58" i="3"/>
  <c r="F59" i="3"/>
  <c r="L59" i="3"/>
  <c r="P59" i="3"/>
  <c r="F60" i="3"/>
  <c r="L60" i="3"/>
  <c r="P60" i="3"/>
  <c r="F61" i="3"/>
  <c r="L61" i="3"/>
  <c r="P61" i="3"/>
  <c r="F62" i="3"/>
  <c r="L62" i="3"/>
  <c r="P62" i="3"/>
  <c r="F63" i="3"/>
  <c r="L63" i="3"/>
  <c r="P63" i="3"/>
  <c r="F64" i="3"/>
  <c r="L64" i="3"/>
  <c r="P64" i="3"/>
  <c r="F65" i="3"/>
  <c r="L65" i="3"/>
  <c r="P65" i="3"/>
  <c r="F66" i="3"/>
  <c r="L66" i="3"/>
  <c r="P66" i="3"/>
  <c r="F67" i="3"/>
  <c r="L67" i="3"/>
  <c r="P67" i="3"/>
  <c r="F68" i="3"/>
  <c r="L68" i="3"/>
  <c r="P68" i="3"/>
  <c r="F69" i="3"/>
  <c r="L69" i="3"/>
  <c r="P69" i="3"/>
  <c r="F70" i="3"/>
  <c r="L70" i="3"/>
  <c r="P70" i="3"/>
  <c r="F71" i="3"/>
  <c r="L71" i="3"/>
  <c r="P71" i="3"/>
  <c r="F72" i="3"/>
  <c r="L72" i="3"/>
  <c r="P72" i="3"/>
  <c r="F73" i="3"/>
  <c r="L73" i="3"/>
  <c r="P73" i="3"/>
  <c r="F74" i="3"/>
  <c r="L74" i="3"/>
  <c r="P74" i="3"/>
  <c r="F75" i="3"/>
  <c r="L75" i="3"/>
  <c r="P75" i="3"/>
  <c r="F76" i="3"/>
  <c r="L76" i="3"/>
  <c r="P76" i="3"/>
  <c r="F77" i="3"/>
  <c r="L77" i="3"/>
  <c r="P77" i="3"/>
  <c r="F78" i="3"/>
  <c r="L78" i="3"/>
  <c r="P78" i="3"/>
  <c r="F79" i="3"/>
  <c r="L79" i="3"/>
  <c r="P79" i="3"/>
  <c r="F80" i="3"/>
  <c r="L80" i="3"/>
  <c r="P80" i="3"/>
  <c r="F81" i="3"/>
  <c r="L81" i="3"/>
  <c r="P81" i="3"/>
  <c r="F82" i="3"/>
  <c r="L82" i="3"/>
  <c r="P82" i="3"/>
  <c r="F83" i="3"/>
  <c r="L83" i="3"/>
  <c r="P83" i="3"/>
  <c r="F84" i="3"/>
  <c r="L84" i="3"/>
  <c r="P84" i="3"/>
  <c r="F85" i="3"/>
  <c r="L85" i="3"/>
  <c r="P85" i="3"/>
  <c r="F86" i="3"/>
  <c r="L86" i="3"/>
  <c r="P86" i="3"/>
  <c r="F87" i="3"/>
  <c r="L87" i="3"/>
  <c r="P87" i="3"/>
  <c r="F88" i="3"/>
  <c r="L88" i="3"/>
  <c r="P88" i="3"/>
  <c r="A9" i="3"/>
  <c r="N49" i="20"/>
  <c r="P49" i="20"/>
  <c r="R49" i="20"/>
  <c r="S49" i="20" s="1"/>
  <c r="N50" i="20"/>
  <c r="P50" i="20"/>
  <c r="R50" i="20"/>
  <c r="S50" i="20" s="1"/>
  <c r="N51" i="20"/>
  <c r="P51" i="20"/>
  <c r="R51" i="20"/>
  <c r="S51" i="20" s="1"/>
  <c r="N52" i="20"/>
  <c r="P52" i="20"/>
  <c r="R52" i="20"/>
  <c r="S52" i="20" s="1"/>
  <c r="N53" i="20"/>
  <c r="P53" i="20"/>
  <c r="R53" i="20"/>
  <c r="S53" i="20" s="1"/>
  <c r="N54" i="20"/>
  <c r="P54" i="20"/>
  <c r="R54" i="20"/>
  <c r="S54" i="20" s="1"/>
  <c r="N55" i="20"/>
  <c r="P55" i="20"/>
  <c r="R55" i="20"/>
  <c r="S55" i="20" s="1"/>
  <c r="N56" i="20"/>
  <c r="P56" i="20"/>
  <c r="R56" i="20"/>
  <c r="S56" i="20" s="1"/>
  <c r="N57" i="20"/>
  <c r="P57" i="20"/>
  <c r="R57" i="20"/>
  <c r="S57" i="20" s="1"/>
  <c r="N58" i="20"/>
  <c r="P58" i="20"/>
  <c r="R58" i="20"/>
  <c r="S58" i="20" s="1"/>
  <c r="N59" i="20"/>
  <c r="P59" i="20"/>
  <c r="R59" i="20"/>
  <c r="S59" i="20" s="1"/>
  <c r="N60" i="20"/>
  <c r="P60" i="20"/>
  <c r="R60" i="20"/>
  <c r="S60" i="20" s="1"/>
  <c r="N61" i="20"/>
  <c r="P61" i="20"/>
  <c r="R61" i="20"/>
  <c r="S61" i="20" s="1"/>
  <c r="N62" i="20"/>
  <c r="P62" i="20"/>
  <c r="R62" i="20"/>
  <c r="S62" i="20" s="1"/>
  <c r="N63" i="20"/>
  <c r="P63" i="20"/>
  <c r="R63" i="20"/>
  <c r="S63" i="20" s="1"/>
  <c r="N64" i="20"/>
  <c r="P64" i="20"/>
  <c r="R64" i="20"/>
  <c r="S64" i="20" s="1"/>
  <c r="N65" i="20"/>
  <c r="P65" i="20"/>
  <c r="R65" i="20"/>
  <c r="S65" i="20" s="1"/>
  <c r="N66" i="20"/>
  <c r="P66" i="20"/>
  <c r="R66" i="20"/>
  <c r="S66" i="20" s="1"/>
  <c r="N67" i="20"/>
  <c r="P67" i="20"/>
  <c r="R67" i="20"/>
  <c r="S67" i="20" s="1"/>
  <c r="N68" i="20"/>
  <c r="P68" i="20"/>
  <c r="R68" i="20"/>
  <c r="S68" i="20" s="1"/>
  <c r="N69" i="20"/>
  <c r="P69" i="20"/>
  <c r="R69" i="20"/>
  <c r="S69" i="20" s="1"/>
  <c r="N70" i="20"/>
  <c r="P70" i="20"/>
  <c r="R70" i="20"/>
  <c r="S70" i="20" s="1"/>
  <c r="N71" i="20"/>
  <c r="P71" i="20"/>
  <c r="R71" i="20"/>
  <c r="S71" i="20" s="1"/>
  <c r="N72" i="20"/>
  <c r="P72" i="20"/>
  <c r="R72" i="20"/>
  <c r="S72" i="20" s="1"/>
  <c r="N73" i="20"/>
  <c r="P73" i="20"/>
  <c r="R73" i="20"/>
  <c r="S73" i="20" s="1"/>
  <c r="N74" i="20"/>
  <c r="P74" i="20"/>
  <c r="R74" i="20"/>
  <c r="S74" i="20" s="1"/>
  <c r="N75" i="20"/>
  <c r="P75" i="20"/>
  <c r="R75" i="20"/>
  <c r="S75" i="20" s="1"/>
  <c r="N76" i="20"/>
  <c r="P76" i="20"/>
  <c r="R76" i="20"/>
  <c r="S76" i="20" s="1"/>
  <c r="N77" i="20"/>
  <c r="P77" i="20"/>
  <c r="R77" i="20"/>
  <c r="S77" i="20" s="1"/>
  <c r="N78" i="20"/>
  <c r="P78" i="20"/>
  <c r="R78" i="20"/>
  <c r="S78" i="20" s="1"/>
  <c r="N79" i="20"/>
  <c r="P79" i="20"/>
  <c r="R79" i="20"/>
  <c r="S79" i="20" s="1"/>
  <c r="N80" i="20"/>
  <c r="P80" i="20"/>
  <c r="R80" i="20"/>
  <c r="S80" i="20" s="1"/>
  <c r="N81" i="20"/>
  <c r="P81" i="20"/>
  <c r="R81" i="20"/>
  <c r="S81" i="20" s="1"/>
  <c r="N82" i="20"/>
  <c r="P82" i="20"/>
  <c r="R82" i="20"/>
  <c r="S82" i="20" s="1"/>
  <c r="N83" i="20"/>
  <c r="P83" i="20"/>
  <c r="R83" i="20"/>
  <c r="S83" i="20" s="1"/>
  <c r="N84" i="20"/>
  <c r="P84" i="20"/>
  <c r="R84" i="20"/>
  <c r="S84" i="20" s="1"/>
  <c r="N85" i="20"/>
  <c r="P85" i="20"/>
  <c r="R85" i="20"/>
  <c r="S85" i="20" s="1"/>
  <c r="N86" i="20"/>
  <c r="P86" i="20"/>
  <c r="R86" i="20"/>
  <c r="S86" i="20" s="1"/>
  <c r="N87" i="20"/>
  <c r="P87" i="20"/>
  <c r="R87" i="20"/>
  <c r="S87" i="20" s="1"/>
  <c r="N88" i="20"/>
  <c r="P88" i="20"/>
  <c r="R88" i="20"/>
  <c r="S88" i="20" s="1"/>
  <c r="N89" i="20"/>
  <c r="P89" i="20"/>
  <c r="R89" i="20"/>
  <c r="S89" i="20" s="1"/>
  <c r="N90" i="20"/>
  <c r="P90" i="20"/>
  <c r="R90" i="20"/>
  <c r="S90" i="20" s="1"/>
  <c r="N91" i="20"/>
  <c r="P91" i="20"/>
  <c r="R91" i="20"/>
  <c r="S91" i="20" s="1"/>
  <c r="N92" i="20"/>
  <c r="P92" i="20"/>
  <c r="R92" i="20"/>
  <c r="S92" i="20" s="1"/>
  <c r="N93" i="20"/>
  <c r="P93" i="20"/>
  <c r="R93" i="20"/>
  <c r="S93" i="20" s="1"/>
  <c r="P33" i="3"/>
  <c r="P32" i="3"/>
  <c r="P31" i="3"/>
  <c r="P30" i="3"/>
  <c r="P29" i="3"/>
  <c r="P28" i="3"/>
  <c r="P27" i="3"/>
  <c r="P26" i="3"/>
  <c r="P25" i="3"/>
  <c r="P24" i="3"/>
  <c r="P17" i="3"/>
  <c r="P16" i="3"/>
  <c r="P15" i="3"/>
  <c r="P14" i="3"/>
  <c r="P13" i="3"/>
  <c r="P12" i="3"/>
  <c r="P11" i="3"/>
  <c r="P10" i="3"/>
  <c r="P35" i="3"/>
  <c r="L35" i="3"/>
  <c r="F35" i="3"/>
  <c r="P34" i="3"/>
  <c r="L34" i="3"/>
  <c r="F34" i="3"/>
  <c r="P23" i="3"/>
  <c r="P22" i="3"/>
  <c r="P21" i="3"/>
  <c r="P20" i="3"/>
  <c r="P19" i="3"/>
  <c r="P18" i="3"/>
  <c r="P43" i="3"/>
  <c r="L43" i="3"/>
  <c r="F43" i="3"/>
  <c r="P42" i="3"/>
  <c r="L42" i="3"/>
  <c r="F42" i="3"/>
  <c r="P41" i="3"/>
  <c r="L41" i="3"/>
  <c r="F41" i="3"/>
  <c r="P40" i="3"/>
  <c r="L40" i="3"/>
  <c r="F40" i="3"/>
  <c r="P39" i="3"/>
  <c r="L39" i="3"/>
  <c r="F39" i="3"/>
  <c r="P38" i="3"/>
  <c r="L38" i="3"/>
  <c r="F38" i="3"/>
  <c r="P37" i="3"/>
  <c r="L37" i="3"/>
  <c r="F37" i="3"/>
  <c r="P36" i="3"/>
  <c r="L36" i="3"/>
  <c r="F36" i="3"/>
  <c r="P9" i="3"/>
  <c r="N48" i="20"/>
  <c r="P48" i="20"/>
  <c r="R48" i="20"/>
  <c r="S48" i="20" s="1"/>
  <c r="N47" i="20"/>
  <c r="P47" i="20"/>
  <c r="R47" i="20"/>
  <c r="S47" i="20" s="1"/>
  <c r="N46" i="20"/>
  <c r="P46" i="20"/>
  <c r="R46" i="20"/>
  <c r="S46" i="20" s="1"/>
  <c r="N45" i="20"/>
  <c r="P45" i="20"/>
  <c r="R45" i="20"/>
  <c r="S45" i="20" s="1"/>
  <c r="N44" i="20"/>
  <c r="P44" i="20"/>
  <c r="R44" i="20"/>
  <c r="S44" i="20" s="1"/>
  <c r="N43" i="20"/>
  <c r="P43" i="20"/>
  <c r="R43" i="20"/>
  <c r="S43" i="20" s="1"/>
  <c r="N42" i="20"/>
  <c r="P42" i="20"/>
  <c r="R42" i="20"/>
  <c r="S42" i="20" s="1"/>
  <c r="N41" i="20"/>
  <c r="P41" i="20"/>
  <c r="R41" i="20"/>
  <c r="S41" i="20" s="1"/>
  <c r="N40" i="20"/>
  <c r="P40" i="20"/>
  <c r="R40" i="20"/>
  <c r="S40" i="20" s="1"/>
  <c r="N39" i="20"/>
  <c r="P39" i="20"/>
  <c r="R39" i="20"/>
  <c r="S39" i="20" s="1"/>
  <c r="N38" i="20"/>
  <c r="P38" i="20"/>
  <c r="R38" i="20"/>
  <c r="S38" i="20" s="1"/>
  <c r="N37" i="20"/>
  <c r="P37" i="20"/>
  <c r="R37" i="20"/>
  <c r="S37" i="20" s="1"/>
  <c r="N36" i="20"/>
  <c r="P36" i="20"/>
  <c r="R36" i="20"/>
  <c r="S36" i="20" s="1"/>
  <c r="N35" i="20"/>
  <c r="P35" i="20"/>
  <c r="R35" i="20"/>
  <c r="S35" i="20" s="1"/>
  <c r="N34" i="20"/>
  <c r="P34" i="20"/>
  <c r="R34" i="20"/>
  <c r="S34" i="20" s="1"/>
  <c r="N33" i="20"/>
  <c r="P33" i="20"/>
  <c r="R33" i="20"/>
  <c r="S33" i="20" s="1"/>
  <c r="N32" i="20"/>
  <c r="P32" i="20"/>
  <c r="R32" i="20"/>
  <c r="S32" i="20" s="1"/>
  <c r="N31" i="20"/>
  <c r="P31" i="20"/>
  <c r="R31" i="20"/>
  <c r="S31" i="20" s="1"/>
  <c r="N30" i="20"/>
  <c r="P30" i="20"/>
  <c r="R30" i="20"/>
  <c r="S30" i="20" s="1"/>
  <c r="N29" i="20"/>
  <c r="P29" i="20"/>
  <c r="R29" i="20"/>
  <c r="S29" i="20" s="1"/>
  <c r="N28" i="20"/>
  <c r="P28" i="20"/>
  <c r="R28" i="20"/>
  <c r="S28" i="20" s="1"/>
  <c r="N27" i="20"/>
  <c r="P27" i="20"/>
  <c r="R27" i="20"/>
  <c r="S27" i="20" s="1"/>
  <c r="N26" i="20"/>
  <c r="P26" i="20"/>
  <c r="R26" i="20"/>
  <c r="S26" i="20" s="1"/>
  <c r="N25" i="20"/>
  <c r="P25" i="20"/>
  <c r="R25" i="20"/>
  <c r="S25" i="20" s="1"/>
  <c r="N24" i="20"/>
  <c r="P24" i="20"/>
  <c r="R24" i="20"/>
  <c r="S24" i="20" s="1"/>
  <c r="N23" i="20"/>
  <c r="P23" i="20"/>
  <c r="R23" i="20"/>
  <c r="S23" i="20" s="1"/>
  <c r="N20" i="20"/>
  <c r="P20" i="20"/>
  <c r="R20" i="20"/>
  <c r="S20" i="20" s="1"/>
  <c r="N19" i="20"/>
  <c r="P19" i="20"/>
  <c r="R19" i="20"/>
  <c r="S19" i="20" s="1"/>
  <c r="N17" i="20"/>
  <c r="P17" i="20"/>
  <c r="R17" i="20"/>
  <c r="S17" i="20" s="1"/>
  <c r="N16" i="20"/>
  <c r="P16" i="20"/>
  <c r="R16" i="20"/>
  <c r="S16" i="20" s="1"/>
  <c r="N15" i="20"/>
  <c r="P15" i="20"/>
  <c r="R15" i="20"/>
  <c r="S15" i="20" s="1"/>
  <c r="N14" i="20"/>
  <c r="P14" i="20"/>
  <c r="R14" i="20"/>
  <c r="S14" i="20" s="1"/>
  <c r="N13" i="20"/>
  <c r="P13" i="20"/>
  <c r="R13" i="20"/>
  <c r="S13" i="20" s="1"/>
  <c r="N12" i="20"/>
  <c r="P12" i="20"/>
  <c r="S12" i="20"/>
  <c r="N11" i="20"/>
  <c r="P11" i="20"/>
  <c r="D33" i="13"/>
  <c r="B18" i="13"/>
  <c r="E18" i="13"/>
  <c r="I44" i="12"/>
  <c r="I58" i="12"/>
  <c r="I69" i="12"/>
  <c r="I74" i="12"/>
  <c r="I75" i="12"/>
  <c r="I78" i="12"/>
  <c r="I80" i="12"/>
  <c r="I82" i="12"/>
  <c r="I83" i="12"/>
  <c r="I84" i="12"/>
  <c r="I88" i="12"/>
  <c r="I96" i="12"/>
  <c r="I100" i="12"/>
  <c r="G9" i="13"/>
  <c r="D9" i="13"/>
  <c r="D7" i="13"/>
  <c r="G7" i="13"/>
  <c r="D8" i="13"/>
  <c r="D10" i="13"/>
  <c r="D11" i="13"/>
  <c r="D12" i="13"/>
  <c r="G12" i="13"/>
  <c r="D13" i="13"/>
  <c r="G13" i="13"/>
  <c r="D14" i="13"/>
  <c r="D15" i="13"/>
  <c r="D16" i="13"/>
  <c r="G16" i="13"/>
  <c r="D17" i="13"/>
  <c r="G8" i="13"/>
  <c r="G10" i="13"/>
  <c r="G11" i="13"/>
  <c r="G14" i="13"/>
  <c r="G15" i="13"/>
  <c r="G17" i="13"/>
  <c r="G18" i="12"/>
  <c r="I18" i="12" s="1"/>
  <c r="I22" i="12"/>
  <c r="I23" i="12"/>
  <c r="I25" i="12"/>
  <c r="K13" i="1"/>
  <c r="M13" i="1"/>
  <c r="O13" i="1"/>
  <c r="P13" i="1" s="1"/>
  <c r="K12" i="1"/>
  <c r="M12" i="1"/>
  <c r="K14" i="1"/>
  <c r="M14" i="1"/>
  <c r="K15" i="1"/>
  <c r="M15" i="1"/>
  <c r="K16" i="1"/>
  <c r="M16" i="1"/>
  <c r="K17" i="1"/>
  <c r="M17" i="1"/>
  <c r="O17" i="1"/>
  <c r="P17" i="1" s="1"/>
  <c r="K18" i="1"/>
  <c r="M18" i="1"/>
  <c r="K19" i="1"/>
  <c r="Q19" i="1" s="1"/>
  <c r="M19" i="1"/>
  <c r="K20" i="1"/>
  <c r="K21" i="1"/>
  <c r="M21" i="1"/>
  <c r="O21" i="1"/>
  <c r="P21" i="1" s="1"/>
  <c r="K24" i="1"/>
  <c r="M24" i="1"/>
  <c r="K25" i="1"/>
  <c r="M25" i="1"/>
  <c r="K26" i="1"/>
  <c r="M26" i="1"/>
  <c r="K27" i="1"/>
  <c r="M27" i="1"/>
  <c r="K28" i="1"/>
  <c r="M28" i="1"/>
  <c r="O28" i="1"/>
  <c r="P28" i="1" s="1"/>
  <c r="K29" i="1"/>
  <c r="M29" i="1"/>
  <c r="K30" i="1"/>
  <c r="M30" i="1"/>
  <c r="O30" i="1"/>
  <c r="P30" i="1" s="1"/>
  <c r="K31" i="1"/>
  <c r="M31" i="1"/>
  <c r="O31" i="1"/>
  <c r="P31" i="1" s="1"/>
  <c r="K32" i="1"/>
  <c r="M32" i="1"/>
  <c r="O32" i="1"/>
  <c r="P32" i="1" s="1"/>
  <c r="K33" i="1"/>
  <c r="M33" i="1"/>
  <c r="O33" i="1"/>
  <c r="P33" i="1" s="1"/>
  <c r="K34" i="1"/>
  <c r="M34" i="1"/>
  <c r="O34" i="1"/>
  <c r="P34" i="1" s="1"/>
  <c r="K35" i="1"/>
  <c r="M35" i="1"/>
  <c r="O35" i="1"/>
  <c r="P35" i="1" s="1"/>
  <c r="J39" i="13"/>
  <c r="K39" i="13" s="1"/>
  <c r="M39" i="13" s="1"/>
  <c r="N39" i="13" s="1"/>
  <c r="J41" i="13"/>
  <c r="K41" i="13" s="1"/>
  <c r="M41" i="13" s="1"/>
  <c r="N41" i="13" s="1"/>
  <c r="J40" i="13"/>
  <c r="K40" i="13" s="1"/>
  <c r="M40" i="13" s="1"/>
  <c r="N40" i="13" s="1"/>
  <c r="J42" i="13"/>
  <c r="K42" i="13" s="1"/>
  <c r="M42" i="13" s="1"/>
  <c r="N42" i="13" s="1"/>
  <c r="I59" i="12"/>
  <c r="I13" i="12" l="1"/>
  <c r="Y9" i="3"/>
  <c r="D11" i="20" s="1"/>
  <c r="D12" i="1" s="1"/>
  <c r="AA67" i="3"/>
  <c r="F70" i="20" s="1"/>
  <c r="X58" i="3"/>
  <c r="C61" i="20" s="1"/>
  <c r="AA34" i="3"/>
  <c r="F37" i="20" s="1"/>
  <c r="Y66" i="3"/>
  <c r="D69" i="20" s="1"/>
  <c r="H8" i="13"/>
  <c r="X87" i="3"/>
  <c r="C90" i="20" s="1"/>
  <c r="Z83" i="3"/>
  <c r="E86" i="20" s="1"/>
  <c r="Z79" i="3"/>
  <c r="E82" i="20" s="1"/>
  <c r="X71" i="3"/>
  <c r="C74" i="20" s="1"/>
  <c r="Z67" i="3"/>
  <c r="E70" i="20" s="1"/>
  <c r="Y47" i="3"/>
  <c r="D50" i="20" s="1"/>
  <c r="Z33" i="3"/>
  <c r="E36" i="20" s="1"/>
  <c r="AA31" i="3"/>
  <c r="F34" i="20" s="1"/>
  <c r="F34" i="1" s="1"/>
  <c r="X88" i="3"/>
  <c r="C91" i="20" s="1"/>
  <c r="X85" i="3"/>
  <c r="C88" i="20" s="1"/>
  <c r="Z81" i="3"/>
  <c r="E84" i="20" s="1"/>
  <c r="AA78" i="3"/>
  <c r="F81" i="20" s="1"/>
  <c r="AA72" i="3"/>
  <c r="F75" i="20" s="1"/>
  <c r="AA49" i="3"/>
  <c r="F52" i="20" s="1"/>
  <c r="Y65" i="3"/>
  <c r="D68" i="20" s="1"/>
  <c r="Z61" i="3"/>
  <c r="E64" i="20" s="1"/>
  <c r="X56" i="3"/>
  <c r="C59" i="20" s="1"/>
  <c r="Y54" i="3"/>
  <c r="D57" i="20" s="1"/>
  <c r="Z53" i="3"/>
  <c r="E56" i="20" s="1"/>
  <c r="AA52" i="3"/>
  <c r="F55" i="20" s="1"/>
  <c r="X46" i="3"/>
  <c r="C49" i="20" s="1"/>
  <c r="Y45" i="3"/>
  <c r="D48" i="20" s="1"/>
  <c r="X42" i="3"/>
  <c r="C45" i="20" s="1"/>
  <c r="X41" i="3"/>
  <c r="C44" i="20" s="1"/>
  <c r="X74" i="3"/>
  <c r="C77" i="20" s="1"/>
  <c r="X45" i="3"/>
  <c r="C48" i="20" s="1"/>
  <c r="X81" i="3"/>
  <c r="C84" i="20" s="1"/>
  <c r="Z87" i="3"/>
  <c r="E90" i="20" s="1"/>
  <c r="X53" i="3"/>
  <c r="C56" i="20" s="1"/>
  <c r="AA88" i="3"/>
  <c r="F91" i="20" s="1"/>
  <c r="Z52" i="3"/>
  <c r="E55" i="20" s="1"/>
  <c r="Y46" i="3"/>
  <c r="D49" i="20" s="1"/>
  <c r="Y41" i="3"/>
  <c r="D44" i="20" s="1"/>
  <c r="H14" i="13"/>
  <c r="Y87" i="3"/>
  <c r="D90" i="20" s="1"/>
  <c r="Y86" i="3"/>
  <c r="D89" i="20" s="1"/>
  <c r="Z84" i="3"/>
  <c r="E87" i="20" s="1"/>
  <c r="Y83" i="3"/>
  <c r="D86" i="20" s="1"/>
  <c r="Y81" i="3"/>
  <c r="D84" i="20" s="1"/>
  <c r="Y80" i="3"/>
  <c r="D83" i="20" s="1"/>
  <c r="X79" i="3"/>
  <c r="C82" i="20" s="1"/>
  <c r="Y76" i="3"/>
  <c r="D79" i="20" s="1"/>
  <c r="Y75" i="3"/>
  <c r="D78" i="20" s="1"/>
  <c r="Z73" i="3"/>
  <c r="E76" i="20" s="1"/>
  <c r="Z72" i="3"/>
  <c r="E75" i="20" s="1"/>
  <c r="AA71" i="3"/>
  <c r="F74" i="20" s="1"/>
  <c r="AA66" i="3"/>
  <c r="F69" i="20" s="1"/>
  <c r="Z64" i="3"/>
  <c r="E67" i="20" s="1"/>
  <c r="Z63" i="3"/>
  <c r="E66" i="20" s="1"/>
  <c r="Y62" i="3"/>
  <c r="D65" i="20" s="1"/>
  <c r="Y61" i="3"/>
  <c r="D64" i="20" s="1"/>
  <c r="Y60" i="3"/>
  <c r="D63" i="20" s="1"/>
  <c r="Y59" i="3"/>
  <c r="D62" i="20" s="1"/>
  <c r="AA57" i="3"/>
  <c r="F60" i="20" s="1"/>
  <c r="AA56" i="3"/>
  <c r="F59" i="20" s="1"/>
  <c r="Y55" i="3"/>
  <c r="D58" i="20" s="1"/>
  <c r="Y53" i="3"/>
  <c r="D56" i="20" s="1"/>
  <c r="X52" i="3"/>
  <c r="C55" i="20" s="1"/>
  <c r="AA51" i="3"/>
  <c r="F54" i="20" s="1"/>
  <c r="X47" i="3"/>
  <c r="C50" i="20" s="1"/>
  <c r="AA46" i="3"/>
  <c r="F49" i="20" s="1"/>
  <c r="Y43" i="3"/>
  <c r="D46" i="20" s="1"/>
  <c r="Y42" i="3"/>
  <c r="D45" i="20" s="1"/>
  <c r="AA41" i="3"/>
  <c r="F44" i="20" s="1"/>
  <c r="AA39" i="3"/>
  <c r="F42" i="20" s="1"/>
  <c r="Y38" i="3"/>
  <c r="D41" i="20" s="1"/>
  <c r="X35" i="3"/>
  <c r="C38" i="20" s="1"/>
  <c r="X34" i="3"/>
  <c r="C37" i="20" s="1"/>
  <c r="Z32" i="3"/>
  <c r="E35" i="20" s="1"/>
  <c r="E35" i="1" s="1"/>
  <c r="Y31" i="3"/>
  <c r="D34" i="20" s="1"/>
  <c r="D34" i="1" s="1"/>
  <c r="AA30" i="3"/>
  <c r="F33" i="20" s="1"/>
  <c r="F33" i="1" s="1"/>
  <c r="X29" i="3"/>
  <c r="C32" i="20" s="1"/>
  <c r="C32" i="1" s="1"/>
  <c r="AA28" i="3"/>
  <c r="F31" i="20" s="1"/>
  <c r="F31" i="1" s="1"/>
  <c r="AA27" i="3"/>
  <c r="F30" i="20" s="1"/>
  <c r="F30" i="1" s="1"/>
  <c r="X21" i="3"/>
  <c r="C24" i="20" s="1"/>
  <c r="C24" i="1" s="1"/>
  <c r="Z16" i="3"/>
  <c r="G93" i="20"/>
  <c r="H93" i="20" s="1"/>
  <c r="I93" i="20" s="1"/>
  <c r="L93" i="20" s="1"/>
  <c r="T93" i="20" s="1"/>
  <c r="U93" i="20" s="1"/>
  <c r="G92" i="20"/>
  <c r="H92" i="20" s="1"/>
  <c r="I92" i="20" s="1"/>
  <c r="L92" i="20" s="1"/>
  <c r="T92" i="20" s="1"/>
  <c r="U92" i="20" s="1"/>
  <c r="AA11" i="3"/>
  <c r="F13" i="20" s="1"/>
  <c r="F14" i="1" s="1"/>
  <c r="Z88" i="3"/>
  <c r="E91" i="20" s="1"/>
  <c r="Z86" i="3"/>
  <c r="E89" i="20" s="1"/>
  <c r="Y85" i="3"/>
  <c r="D88" i="20" s="1"/>
  <c r="AA84" i="3"/>
  <c r="F87" i="20" s="1"/>
  <c r="Z82" i="3"/>
  <c r="E85" i="20" s="1"/>
  <c r="AA81" i="3"/>
  <c r="F84" i="20" s="1"/>
  <c r="Y78" i="3"/>
  <c r="D81" i="20" s="1"/>
  <c r="Z77" i="3"/>
  <c r="E80" i="20" s="1"/>
  <c r="Z74" i="3"/>
  <c r="E77" i="20" s="1"/>
  <c r="AA70" i="3"/>
  <c r="F73" i="20" s="1"/>
  <c r="Z69" i="3"/>
  <c r="E72" i="20" s="1"/>
  <c r="Y68" i="3"/>
  <c r="D71" i="20" s="1"/>
  <c r="X66" i="3"/>
  <c r="C69" i="20" s="1"/>
  <c r="Z65" i="3"/>
  <c r="E68" i="20" s="1"/>
  <c r="X64" i="3"/>
  <c r="C67" i="20" s="1"/>
  <c r="Z62" i="3"/>
  <c r="E65" i="20" s="1"/>
  <c r="X61" i="3"/>
  <c r="C64" i="20" s="1"/>
  <c r="X60" i="3"/>
  <c r="C63" i="20" s="1"/>
  <c r="Z58" i="3"/>
  <c r="E61" i="20" s="1"/>
  <c r="X57" i="3"/>
  <c r="C60" i="20" s="1"/>
  <c r="Z56" i="3"/>
  <c r="E59" i="20" s="1"/>
  <c r="AA54" i="3"/>
  <c r="F57" i="20" s="1"/>
  <c r="Y52" i="3"/>
  <c r="D55" i="20" s="1"/>
  <c r="Y49" i="3"/>
  <c r="D52" i="20" s="1"/>
  <c r="AA48" i="3"/>
  <c r="F51" i="20" s="1"/>
  <c r="AA45" i="3"/>
  <c r="F48" i="20" s="1"/>
  <c r="AA38" i="3"/>
  <c r="F41" i="20" s="1"/>
  <c r="Z37" i="3"/>
  <c r="E40" i="20" s="1"/>
  <c r="AA36" i="3"/>
  <c r="F39" i="20" s="1"/>
  <c r="Y34" i="3"/>
  <c r="D37" i="20" s="1"/>
  <c r="X33" i="3"/>
  <c r="Y30" i="3"/>
  <c r="D33" i="20" s="1"/>
  <c r="D33" i="1" s="1"/>
  <c r="X16" i="3"/>
  <c r="Z30" i="3"/>
  <c r="E33" i="20" s="1"/>
  <c r="E33" i="1" s="1"/>
  <c r="AA16" i="3"/>
  <c r="H16" i="13"/>
  <c r="Y32" i="3"/>
  <c r="D35" i="20" s="1"/>
  <c r="D35" i="1" s="1"/>
  <c r="Z47" i="3"/>
  <c r="E50" i="20" s="1"/>
  <c r="X63" i="3"/>
  <c r="C66" i="20" s="1"/>
  <c r="X43" i="3"/>
  <c r="C46" i="20" s="1"/>
  <c r="Z71" i="3"/>
  <c r="E74" i="20" s="1"/>
  <c r="Z35" i="3"/>
  <c r="E38" i="20" s="1"/>
  <c r="H10" i="13"/>
  <c r="B21" i="13"/>
  <c r="C32" i="13" s="1"/>
  <c r="E32" i="13" s="1"/>
  <c r="X44" i="3"/>
  <c r="C47" i="20" s="1"/>
  <c r="Y40" i="3"/>
  <c r="D43" i="20" s="1"/>
  <c r="X40" i="3"/>
  <c r="C43" i="20" s="1"/>
  <c r="AA75" i="3"/>
  <c r="F78" i="20" s="1"/>
  <c r="Y37" i="3"/>
  <c r="D40" i="20" s="1"/>
  <c r="Y82" i="3"/>
  <c r="D85" i="20" s="1"/>
  <c r="AA69" i="3"/>
  <c r="F72" i="20" s="1"/>
  <c r="Z31" i="3"/>
  <c r="E34" i="20" s="1"/>
  <c r="E34" i="1" s="1"/>
  <c r="AA32" i="3"/>
  <c r="F35" i="20" s="1"/>
  <c r="F35" i="1" s="1"/>
  <c r="Z34" i="3"/>
  <c r="E37" i="20" s="1"/>
  <c r="Z54" i="3"/>
  <c r="E57" i="20" s="1"/>
  <c r="AA59" i="3"/>
  <c r="F62" i="20" s="1"/>
  <c r="Z38" i="3"/>
  <c r="E41" i="20" s="1"/>
  <c r="Z44" i="3"/>
  <c r="E47" i="20" s="1"/>
  <c r="X70" i="3"/>
  <c r="C73" i="20" s="1"/>
  <c r="AA77" i="3"/>
  <c r="F80" i="20" s="1"/>
  <c r="AA85" i="3"/>
  <c r="F88" i="20" s="1"/>
  <c r="AA86" i="3"/>
  <c r="F89" i="20" s="1"/>
  <c r="Y58" i="3"/>
  <c r="D61" i="20" s="1"/>
  <c r="AA74" i="3"/>
  <c r="F77" i="20" s="1"/>
  <c r="X75" i="3"/>
  <c r="C78" i="20" s="1"/>
  <c r="AA82" i="3"/>
  <c r="F85" i="20" s="1"/>
  <c r="X84" i="3"/>
  <c r="C87" i="20" s="1"/>
  <c r="Z59" i="3"/>
  <c r="E62" i="20" s="1"/>
  <c r="Z49" i="3"/>
  <c r="E52" i="20" s="1"/>
  <c r="X36" i="3"/>
  <c r="C39" i="20" s="1"/>
  <c r="Y33" i="3"/>
  <c r="D36" i="20" s="1"/>
  <c r="H15" i="13"/>
  <c r="AA61" i="3"/>
  <c r="F64" i="20" s="1"/>
  <c r="Z41" i="3"/>
  <c r="E44" i="20" s="1"/>
  <c r="X37" i="3"/>
  <c r="C40" i="20" s="1"/>
  <c r="AA33" i="3"/>
  <c r="F36" i="20" s="1"/>
  <c r="Y11" i="3"/>
  <c r="D13" i="20" s="1"/>
  <c r="D14" i="1" s="1"/>
  <c r="Y63" i="3"/>
  <c r="D66" i="20" s="1"/>
  <c r="X51" i="3"/>
  <c r="C54" i="20" s="1"/>
  <c r="X39" i="3"/>
  <c r="C42" i="20" s="1"/>
  <c r="H13" i="13"/>
  <c r="Y36" i="3"/>
  <c r="D39" i="20" s="1"/>
  <c r="Y79" i="3"/>
  <c r="D82" i="20" s="1"/>
  <c r="Z43" i="3"/>
  <c r="E46" i="20" s="1"/>
  <c r="Z85" i="3"/>
  <c r="E88" i="20" s="1"/>
  <c r="X31" i="3"/>
  <c r="C34" i="20" s="1"/>
  <c r="C34" i="1" s="1"/>
  <c r="X32" i="3"/>
  <c r="C35" i="20" s="1"/>
  <c r="C35" i="1" s="1"/>
  <c r="Z39" i="3"/>
  <c r="E42" i="20" s="1"/>
  <c r="AA63" i="3"/>
  <c r="F66" i="20" s="1"/>
  <c r="AA37" i="3"/>
  <c r="F40" i="20" s="1"/>
  <c r="Z40" i="3"/>
  <c r="E43" i="20" s="1"/>
  <c r="Y84" i="3"/>
  <c r="D87" i="20" s="1"/>
  <c r="X65" i="3"/>
  <c r="C68" i="20" s="1"/>
  <c r="Z36" i="3"/>
  <c r="E39" i="20" s="1"/>
  <c r="Y35" i="3"/>
  <c r="D38" i="20" s="1"/>
  <c r="Z42" i="3"/>
  <c r="E45" i="20" s="1"/>
  <c r="X38" i="3"/>
  <c r="C41" i="20" s="1"/>
  <c r="Z13" i="3"/>
  <c r="E15" i="20" s="1"/>
  <c r="E16" i="1" s="1"/>
  <c r="AA22" i="3"/>
  <c r="F25" i="20" s="1"/>
  <c r="F25" i="1" s="1"/>
  <c r="Y19" i="3"/>
  <c r="D22" i="20" s="1"/>
  <c r="D22" i="1" s="1"/>
  <c r="Z19" i="3"/>
  <c r="E22" i="20" s="1"/>
  <c r="E22" i="1" s="1"/>
  <c r="AA19" i="3"/>
  <c r="F22" i="20" s="1"/>
  <c r="F22" i="1" s="1"/>
  <c r="Y18" i="3"/>
  <c r="D21" i="20" s="1"/>
  <c r="D21" i="1" s="1"/>
  <c r="Y17" i="3"/>
  <c r="D20" i="20" s="1"/>
  <c r="D20" i="1" s="1"/>
  <c r="Z29" i="3"/>
  <c r="E32" i="20" s="1"/>
  <c r="E32" i="1" s="1"/>
  <c r="Y28" i="3"/>
  <c r="D31" i="20" s="1"/>
  <c r="D31" i="1" s="1"/>
  <c r="Y29" i="3"/>
  <c r="D32" i="20" s="1"/>
  <c r="Z24" i="3"/>
  <c r="E27" i="20" s="1"/>
  <c r="E27" i="1" s="1"/>
  <c r="Z27" i="3"/>
  <c r="E30" i="20" s="1"/>
  <c r="E30" i="1" s="1"/>
  <c r="AA25" i="3"/>
  <c r="F28" i="20" s="1"/>
  <c r="F28" i="1" s="1"/>
  <c r="Y24" i="3"/>
  <c r="D27" i="20" s="1"/>
  <c r="D27" i="1" s="1"/>
  <c r="Z18" i="3"/>
  <c r="E21" i="20" s="1"/>
  <c r="E21" i="1" s="1"/>
  <c r="Z17" i="3"/>
  <c r="E20" i="20" s="1"/>
  <c r="E20" i="1" s="1"/>
  <c r="Z26" i="3"/>
  <c r="E29" i="20" s="1"/>
  <c r="E29" i="1" s="1"/>
  <c r="X24" i="3"/>
  <c r="C27" i="20" s="1"/>
  <c r="C27" i="1" s="1"/>
  <c r="Y25" i="3"/>
  <c r="D28" i="20" s="1"/>
  <c r="D28" i="1" s="1"/>
  <c r="H11" i="13"/>
  <c r="AA80" i="3"/>
  <c r="F83" i="20" s="1"/>
  <c r="Z78" i="3"/>
  <c r="E81" i="20" s="1"/>
  <c r="Y77" i="3"/>
  <c r="D80" i="20" s="1"/>
  <c r="Z76" i="3"/>
  <c r="E79" i="20" s="1"/>
  <c r="Y74" i="3"/>
  <c r="D77" i="20" s="1"/>
  <c r="Y73" i="3"/>
  <c r="D76" i="20" s="1"/>
  <c r="Y72" i="3"/>
  <c r="D75" i="20" s="1"/>
  <c r="Z70" i="3"/>
  <c r="E73" i="20" s="1"/>
  <c r="AA68" i="3"/>
  <c r="F71" i="20" s="1"/>
  <c r="X67" i="3"/>
  <c r="C70" i="20" s="1"/>
  <c r="Z66" i="3"/>
  <c r="AA65" i="3"/>
  <c r="AA64" i="3"/>
  <c r="F67" i="20" s="1"/>
  <c r="X62" i="3"/>
  <c r="C65" i="20" s="1"/>
  <c r="Z60" i="3"/>
  <c r="E63" i="20" s="1"/>
  <c r="X55" i="3"/>
  <c r="C58" i="20" s="1"/>
  <c r="AA53" i="3"/>
  <c r="F56" i="20" s="1"/>
  <c r="AA43" i="3"/>
  <c r="F46" i="20" s="1"/>
  <c r="AA42" i="3"/>
  <c r="F45" i="20" s="1"/>
  <c r="AA40" i="3"/>
  <c r="F43" i="20" s="1"/>
  <c r="Y39" i="3"/>
  <c r="D42" i="20" s="1"/>
  <c r="AA29" i="3"/>
  <c r="F32" i="20" s="1"/>
  <c r="F32" i="1" s="1"/>
  <c r="H9" i="13"/>
  <c r="X30" i="3"/>
  <c r="X11" i="3"/>
  <c r="C13" i="20" s="1"/>
  <c r="C14" i="1" s="1"/>
  <c r="E36" i="13"/>
  <c r="H36" i="13" s="1"/>
  <c r="E38" i="13"/>
  <c r="F38" i="13" s="1"/>
  <c r="H12" i="13"/>
  <c r="E35" i="13"/>
  <c r="D18" i="13"/>
  <c r="I36" i="12"/>
  <c r="I50" i="12"/>
  <c r="I33" i="12"/>
  <c r="I35" i="12"/>
  <c r="I40" i="12"/>
  <c r="I43" i="12"/>
  <c r="I34" i="12"/>
  <c r="I49" i="12"/>
  <c r="I38" i="12"/>
  <c r="G24" i="12"/>
  <c r="I24" i="12" s="1"/>
  <c r="E37" i="13"/>
  <c r="AA21" i="3"/>
  <c r="F24" i="20" s="1"/>
  <c r="F24" i="1" s="1"/>
  <c r="Y21" i="3"/>
  <c r="D24" i="20" s="1"/>
  <c r="Z21" i="3"/>
  <c r="E24" i="20" s="1"/>
  <c r="E24" i="1" s="1"/>
  <c r="Y20" i="3"/>
  <c r="D23" i="20" s="1"/>
  <c r="D23" i="1" s="1"/>
  <c r="X20" i="3"/>
  <c r="AA20" i="3"/>
  <c r="F23" i="20" s="1"/>
  <c r="F23" i="1" s="1"/>
  <c r="Z20" i="3"/>
  <c r="E23" i="20" s="1"/>
  <c r="E23" i="1" s="1"/>
  <c r="X12" i="3"/>
  <c r="Y12" i="3"/>
  <c r="D14" i="20" s="1"/>
  <c r="D15" i="1" s="1"/>
  <c r="AA12" i="3"/>
  <c r="F14" i="20" s="1"/>
  <c r="F15" i="1" s="1"/>
  <c r="Z12" i="3"/>
  <c r="E14" i="20" s="1"/>
  <c r="E15" i="1" s="1"/>
  <c r="I61" i="12"/>
  <c r="X14" i="3"/>
  <c r="AA14" i="3"/>
  <c r="F16" i="20" s="1"/>
  <c r="F17" i="1" s="1"/>
  <c r="Y14" i="3"/>
  <c r="D16" i="20" s="1"/>
  <c r="D17" i="1" s="1"/>
  <c r="Z14" i="3"/>
  <c r="E16" i="20" s="1"/>
  <c r="E17" i="1" s="1"/>
  <c r="X9" i="3"/>
  <c r="Z9" i="3"/>
  <c r="E11" i="20" s="1"/>
  <c r="E12" i="1" s="1"/>
  <c r="AA9" i="3"/>
  <c r="F11" i="20" s="1"/>
  <c r="F12" i="1" s="1"/>
  <c r="G18" i="13"/>
  <c r="X78" i="3"/>
  <c r="Y70" i="3"/>
  <c r="D73" i="20" s="1"/>
  <c r="AA62" i="3"/>
  <c r="F65" i="20" s="1"/>
  <c r="H17" i="13"/>
  <c r="Y88" i="3"/>
  <c r="AA87" i="3"/>
  <c r="F90" i="20" s="1"/>
  <c r="X86" i="3"/>
  <c r="X83" i="3"/>
  <c r="AA83" i="3"/>
  <c r="F86" i="20" s="1"/>
  <c r="X50" i="3"/>
  <c r="Y50" i="3"/>
  <c r="D53" i="20" s="1"/>
  <c r="Z50" i="3"/>
  <c r="E53" i="20" s="1"/>
  <c r="AA50" i="3"/>
  <c r="F53" i="20" s="1"/>
  <c r="AA47" i="3"/>
  <c r="F50" i="20" s="1"/>
  <c r="Z22" i="3"/>
  <c r="E25" i="20" s="1"/>
  <c r="E25" i="1" s="1"/>
  <c r="X22" i="3"/>
  <c r="Y22" i="3"/>
  <c r="D25" i="20" s="1"/>
  <c r="D25" i="1" s="1"/>
  <c r="Z80" i="3"/>
  <c r="E83" i="20" s="1"/>
  <c r="AA79" i="3"/>
  <c r="F82" i="20" s="1"/>
  <c r="X77" i="3"/>
  <c r="X76" i="3"/>
  <c r="AA76" i="3"/>
  <c r="F79" i="20" s="1"/>
  <c r="Z75" i="3"/>
  <c r="AA73" i="3"/>
  <c r="F76" i="20" s="1"/>
  <c r="X73" i="3"/>
  <c r="X72" i="3"/>
  <c r="Y71" i="3"/>
  <c r="D74" i="20" s="1"/>
  <c r="Y69" i="3"/>
  <c r="D72" i="20" s="1"/>
  <c r="X68" i="3"/>
  <c r="Z68" i="3"/>
  <c r="E71" i="20" s="1"/>
  <c r="Y67" i="3"/>
  <c r="D70" i="20" s="1"/>
  <c r="Y64" i="3"/>
  <c r="D67" i="20" s="1"/>
  <c r="AA60" i="3"/>
  <c r="F63" i="20" s="1"/>
  <c r="X59" i="3"/>
  <c r="AA58" i="3"/>
  <c r="F61" i="20" s="1"/>
  <c r="Z57" i="3"/>
  <c r="E60" i="20" s="1"/>
  <c r="Y57" i="3"/>
  <c r="Y56" i="3"/>
  <c r="D59" i="20" s="1"/>
  <c r="Z55" i="3"/>
  <c r="E58" i="20" s="1"/>
  <c r="AA55" i="3"/>
  <c r="F58" i="20" s="1"/>
  <c r="X54" i="3"/>
  <c r="Z51" i="3"/>
  <c r="E54" i="20" s="1"/>
  <c r="Y48" i="3"/>
  <c r="D51" i="20" s="1"/>
  <c r="Z48" i="3"/>
  <c r="E51" i="20" s="1"/>
  <c r="X48" i="3"/>
  <c r="AA44" i="3"/>
  <c r="F47" i="20" s="1"/>
  <c r="Y44" i="3"/>
  <c r="Y10" i="3"/>
  <c r="D12" i="20" s="1"/>
  <c r="D13" i="1" s="1"/>
  <c r="AA10" i="3"/>
  <c r="F12" i="20" s="1"/>
  <c r="F13" i="1" s="1"/>
  <c r="X10" i="3"/>
  <c r="Z10" i="3"/>
  <c r="E12" i="20" s="1"/>
  <c r="E13" i="1" s="1"/>
  <c r="X80" i="3"/>
  <c r="Y51" i="3"/>
  <c r="D54" i="20" s="1"/>
  <c r="Z45" i="3"/>
  <c r="E48" i="20" s="1"/>
  <c r="Z23" i="3"/>
  <c r="E26" i="20" s="1"/>
  <c r="E26" i="1" s="1"/>
  <c r="AA23" i="3"/>
  <c r="F26" i="20" s="1"/>
  <c r="F26" i="1" s="1"/>
  <c r="Y23" i="3"/>
  <c r="D26" i="20" s="1"/>
  <c r="D26" i="1" s="1"/>
  <c r="X18" i="3"/>
  <c r="AA18" i="3"/>
  <c r="F21" i="20" s="1"/>
  <c r="F21" i="1" s="1"/>
  <c r="H7" i="13"/>
  <c r="X82" i="3"/>
  <c r="X49" i="3"/>
  <c r="Z46" i="3"/>
  <c r="E49" i="20" s="1"/>
  <c r="X27" i="3"/>
  <c r="Y27" i="3"/>
  <c r="D30" i="20" s="1"/>
  <c r="D30" i="1" s="1"/>
  <c r="X23" i="3"/>
  <c r="X19" i="3"/>
  <c r="X15" i="3"/>
  <c r="Z15" i="3"/>
  <c r="E17" i="20" s="1"/>
  <c r="E18" i="1" s="1"/>
  <c r="AA15" i="3"/>
  <c r="F17" i="20" s="1"/>
  <c r="F18" i="1" s="1"/>
  <c r="Y15" i="3"/>
  <c r="D17" i="20" s="1"/>
  <c r="D18" i="1" s="1"/>
  <c r="X69" i="3"/>
  <c r="Z28" i="3"/>
  <c r="E31" i="20" s="1"/>
  <c r="E31" i="1" s="1"/>
  <c r="AA24" i="3"/>
  <c r="Y16" i="3"/>
  <c r="D18" i="20" s="1"/>
  <c r="AA35" i="3"/>
  <c r="F38" i="20" s="1"/>
  <c r="X28" i="3"/>
  <c r="X25" i="3"/>
  <c r="Z25" i="3"/>
  <c r="E28" i="20" s="1"/>
  <c r="E28" i="1" s="1"/>
  <c r="X17" i="3"/>
  <c r="AA17" i="3"/>
  <c r="F20" i="20" s="1"/>
  <c r="F20" i="1" s="1"/>
  <c r="X26" i="3"/>
  <c r="AA26" i="3"/>
  <c r="F29" i="20" s="1"/>
  <c r="F29" i="1" s="1"/>
  <c r="Y26" i="3"/>
  <c r="D29" i="20" s="1"/>
  <c r="D29" i="1" s="1"/>
  <c r="Y13" i="3"/>
  <c r="D15" i="20" s="1"/>
  <c r="D16" i="1" s="1"/>
  <c r="AA13" i="3"/>
  <c r="F15" i="20" s="1"/>
  <c r="F16" i="1" s="1"/>
  <c r="X13" i="3"/>
  <c r="Z11" i="3"/>
  <c r="F19" i="20" l="1"/>
  <c r="F19" i="1" s="1"/>
  <c r="F18" i="20"/>
  <c r="C19" i="20"/>
  <c r="C19" i="1" s="1"/>
  <c r="C18" i="20"/>
  <c r="E19" i="20"/>
  <c r="E19" i="1" s="1"/>
  <c r="E18" i="20"/>
  <c r="G101" i="12"/>
  <c r="G36" i="13"/>
  <c r="G56" i="20"/>
  <c r="H56" i="20" s="1"/>
  <c r="I56" i="20" s="1"/>
  <c r="B53" i="3" s="1"/>
  <c r="G59" i="20"/>
  <c r="H59" i="20" s="1"/>
  <c r="I59" i="20" s="1"/>
  <c r="B56" i="3" s="1"/>
  <c r="G90" i="20"/>
  <c r="H90" i="20" s="1"/>
  <c r="I90" i="20" s="1"/>
  <c r="B87" i="3" s="1"/>
  <c r="AB81" i="3"/>
  <c r="AC81" i="3" s="1"/>
  <c r="J84" i="20" s="1"/>
  <c r="K84" i="20" s="1"/>
  <c r="G87" i="20"/>
  <c r="H87" i="20" s="1"/>
  <c r="I87" i="20" s="1"/>
  <c r="B84" i="3" s="1"/>
  <c r="AB84" i="3"/>
  <c r="AC84" i="3" s="1"/>
  <c r="J87" i="20" s="1"/>
  <c r="K87" i="20" s="1"/>
  <c r="G35" i="1"/>
  <c r="H35" i="1" s="1"/>
  <c r="I35" i="1" s="1"/>
  <c r="Q35" i="1" s="1"/>
  <c r="AB32" i="3"/>
  <c r="AC32" i="3" s="1"/>
  <c r="J35" i="20" s="1"/>
  <c r="K35" i="20" s="1"/>
  <c r="G35" i="20"/>
  <c r="H35" i="20" s="1"/>
  <c r="I35" i="20" s="1"/>
  <c r="B32" i="3" s="1"/>
  <c r="G49" i="20"/>
  <c r="H49" i="20" s="1"/>
  <c r="I49" i="20" s="1"/>
  <c r="B46" i="3" s="1"/>
  <c r="G44" i="20"/>
  <c r="H44" i="20" s="1"/>
  <c r="I44" i="20" s="1"/>
  <c r="B41" i="3" s="1"/>
  <c r="G37" i="20"/>
  <c r="H37" i="20" s="1"/>
  <c r="I37" i="20" s="1"/>
  <c r="B34" i="3" s="1"/>
  <c r="G82" i="20"/>
  <c r="H82" i="20" s="1"/>
  <c r="I82" i="20" s="1"/>
  <c r="B79" i="3" s="1"/>
  <c r="AB33" i="3"/>
  <c r="AC33" i="3" s="1"/>
  <c r="J36" i="20" s="1"/>
  <c r="K36" i="20" s="1"/>
  <c r="C36" i="20"/>
  <c r="G36" i="20" s="1"/>
  <c r="H36" i="20" s="1"/>
  <c r="I36" i="20" s="1"/>
  <c r="B33" i="3" s="1"/>
  <c r="G77" i="20"/>
  <c r="H77" i="20" s="1"/>
  <c r="I77" i="20" s="1"/>
  <c r="B74" i="3" s="1"/>
  <c r="C33" i="13"/>
  <c r="E33" i="13" s="1"/>
  <c r="F33" i="13" s="1"/>
  <c r="G41" i="20"/>
  <c r="H41" i="20" s="1"/>
  <c r="I41" i="20" s="1"/>
  <c r="B38" i="3" s="1"/>
  <c r="AB74" i="3"/>
  <c r="AC74" i="3" s="1"/>
  <c r="J77" i="20" s="1"/>
  <c r="K77" i="20" s="1"/>
  <c r="G73" i="20"/>
  <c r="H73" i="20" s="1"/>
  <c r="I73" i="20" s="1"/>
  <c r="B70" i="3" s="1"/>
  <c r="AB31" i="3"/>
  <c r="AC31" i="3" s="1"/>
  <c r="J34" i="20" s="1"/>
  <c r="K34" i="20" s="1"/>
  <c r="G66" i="20"/>
  <c r="H66" i="20" s="1"/>
  <c r="I66" i="20" s="1"/>
  <c r="B63" i="3" s="1"/>
  <c r="G88" i="20"/>
  <c r="H88" i="20" s="1"/>
  <c r="I88" i="20" s="1"/>
  <c r="B85" i="3" s="1"/>
  <c r="G55" i="20"/>
  <c r="H55" i="20" s="1"/>
  <c r="I55" i="20" s="1"/>
  <c r="AB63" i="3"/>
  <c r="AC63" i="3" s="1"/>
  <c r="J66" i="20" s="1"/>
  <c r="K66" i="20" s="1"/>
  <c r="G42" i="20"/>
  <c r="H42" i="20" s="1"/>
  <c r="I42" i="20" s="1"/>
  <c r="B39" i="3" s="1"/>
  <c r="G40" i="20"/>
  <c r="H40" i="20" s="1"/>
  <c r="I40" i="20" s="1"/>
  <c r="B37" i="3" s="1"/>
  <c r="AB39" i="3"/>
  <c r="AC39" i="3" s="1"/>
  <c r="J42" i="20" s="1"/>
  <c r="K42" i="20" s="1"/>
  <c r="C34" i="13"/>
  <c r="E34" i="13" s="1"/>
  <c r="G34" i="13" s="1"/>
  <c r="AB37" i="3"/>
  <c r="AC37" i="3" s="1"/>
  <c r="J40" i="20" s="1"/>
  <c r="K40" i="20" s="1"/>
  <c r="AB52" i="3"/>
  <c r="AC52" i="3" s="1"/>
  <c r="J55" i="20" s="1"/>
  <c r="K55" i="20" s="1"/>
  <c r="G64" i="20"/>
  <c r="H64" i="20" s="1"/>
  <c r="I64" i="20" s="1"/>
  <c r="B61" i="3" s="1"/>
  <c r="AB38" i="3"/>
  <c r="AC38" i="3" s="1"/>
  <c r="J41" i="20" s="1"/>
  <c r="K41" i="20" s="1"/>
  <c r="AB61" i="3"/>
  <c r="AC61" i="3" s="1"/>
  <c r="J64" i="20" s="1"/>
  <c r="K64" i="20" s="1"/>
  <c r="G39" i="20"/>
  <c r="H39" i="20" s="1"/>
  <c r="I39" i="20" s="1"/>
  <c r="B36" i="3" s="1"/>
  <c r="G70" i="20"/>
  <c r="H70" i="20" s="1"/>
  <c r="I70" i="20" s="1"/>
  <c r="B67" i="3" s="1"/>
  <c r="AB41" i="3"/>
  <c r="AC41" i="3" s="1"/>
  <c r="J44" i="20" s="1"/>
  <c r="K44" i="20" s="1"/>
  <c r="G34" i="20"/>
  <c r="H34" i="20" s="1"/>
  <c r="I34" i="20" s="1"/>
  <c r="B31" i="3" s="1"/>
  <c r="G84" i="20"/>
  <c r="H84" i="20" s="1"/>
  <c r="I84" i="20" s="1"/>
  <c r="G43" i="20"/>
  <c r="H43" i="20" s="1"/>
  <c r="I43" i="20" s="1"/>
  <c r="G58" i="20"/>
  <c r="H58" i="20" s="1"/>
  <c r="I58" i="20" s="1"/>
  <c r="B55" i="3" s="1"/>
  <c r="AB85" i="3"/>
  <c r="AC85" i="3" s="1"/>
  <c r="J88" i="20" s="1"/>
  <c r="K88" i="20" s="1"/>
  <c r="AB51" i="3"/>
  <c r="AC51" i="3" s="1"/>
  <c r="J54" i="20" s="1"/>
  <c r="K54" i="20" s="1"/>
  <c r="AB87" i="3"/>
  <c r="AC87" i="3" s="1"/>
  <c r="J90" i="20" s="1"/>
  <c r="K90" i="20" s="1"/>
  <c r="G50" i="20"/>
  <c r="H50" i="20" s="1"/>
  <c r="I50" i="20" s="1"/>
  <c r="B47" i="3" s="1"/>
  <c r="AB56" i="3"/>
  <c r="AC56" i="3" s="1"/>
  <c r="J59" i="20" s="1"/>
  <c r="K59" i="20" s="1"/>
  <c r="AB34" i="3"/>
  <c r="AC34" i="3" s="1"/>
  <c r="J37" i="20" s="1"/>
  <c r="K37" i="20" s="1"/>
  <c r="AB36" i="3"/>
  <c r="AC36" i="3" s="1"/>
  <c r="J39" i="20" s="1"/>
  <c r="K39" i="20" s="1"/>
  <c r="H18" i="13"/>
  <c r="AB64" i="3"/>
  <c r="AC64" i="3" s="1"/>
  <c r="J67" i="20" s="1"/>
  <c r="K67" i="20" s="1"/>
  <c r="AB42" i="3"/>
  <c r="AC42" i="3" s="1"/>
  <c r="J45" i="20" s="1"/>
  <c r="K45" i="20" s="1"/>
  <c r="B22" i="13"/>
  <c r="C33" i="20"/>
  <c r="AB30" i="3"/>
  <c r="AC30" i="3" s="1"/>
  <c r="J33" i="20" s="1"/>
  <c r="K33" i="20" s="1"/>
  <c r="AB40" i="3"/>
  <c r="AC40" i="3" s="1"/>
  <c r="J43" i="20" s="1"/>
  <c r="K43" i="20" s="1"/>
  <c r="AB43" i="3"/>
  <c r="AC43" i="3" s="1"/>
  <c r="J46" i="20" s="1"/>
  <c r="K46" i="20" s="1"/>
  <c r="E69" i="20"/>
  <c r="G69" i="20" s="1"/>
  <c r="H69" i="20" s="1"/>
  <c r="I69" i="20" s="1"/>
  <c r="B66" i="3" s="1"/>
  <c r="AB66" i="3"/>
  <c r="AC66" i="3" s="1"/>
  <c r="J69" i="20" s="1"/>
  <c r="K69" i="20" s="1"/>
  <c r="AB35" i="3"/>
  <c r="AC35" i="3" s="1"/>
  <c r="J38" i="20" s="1"/>
  <c r="K38" i="20" s="1"/>
  <c r="AB21" i="3"/>
  <c r="AC21" i="3" s="1"/>
  <c r="J24" i="20" s="1"/>
  <c r="K24" i="20" s="1"/>
  <c r="G45" i="20"/>
  <c r="H45" i="20" s="1"/>
  <c r="I45" i="20" s="1"/>
  <c r="B42" i="3" s="1"/>
  <c r="AB29" i="3"/>
  <c r="AC29" i="3" s="1"/>
  <c r="J32" i="20" s="1"/>
  <c r="K32" i="20" s="1"/>
  <c r="F68" i="20"/>
  <c r="G68" i="20" s="1"/>
  <c r="H68" i="20" s="1"/>
  <c r="I68" i="20" s="1"/>
  <c r="AB65" i="3"/>
  <c r="AC65" i="3" s="1"/>
  <c r="J68" i="20" s="1"/>
  <c r="K68" i="20" s="1"/>
  <c r="AB53" i="3"/>
  <c r="AC53" i="3" s="1"/>
  <c r="J56" i="20" s="1"/>
  <c r="K56" i="20" s="1"/>
  <c r="L56" i="20" s="1"/>
  <c r="T56" i="20" s="1"/>
  <c r="U56" i="20" s="1"/>
  <c r="G46" i="20"/>
  <c r="H46" i="20" s="1"/>
  <c r="I46" i="20" s="1"/>
  <c r="F36" i="13"/>
  <c r="G38" i="13"/>
  <c r="H38" i="13"/>
  <c r="H35" i="13"/>
  <c r="G35" i="13"/>
  <c r="F35" i="13"/>
  <c r="I101" i="12"/>
  <c r="C15" i="20"/>
  <c r="AB13" i="3"/>
  <c r="AC13" i="3" s="1"/>
  <c r="J15" i="20" s="1"/>
  <c r="K15" i="20" s="1"/>
  <c r="D19" i="20"/>
  <c r="AB16" i="3"/>
  <c r="AC16" i="3" s="1"/>
  <c r="C22" i="20"/>
  <c r="AB19" i="3"/>
  <c r="AC19" i="3" s="1"/>
  <c r="J22" i="20" s="1"/>
  <c r="K22" i="20" s="1"/>
  <c r="C51" i="20"/>
  <c r="G51" i="20" s="1"/>
  <c r="H51" i="20" s="1"/>
  <c r="I51" i="20" s="1"/>
  <c r="AB48" i="3"/>
  <c r="AC48" i="3" s="1"/>
  <c r="J51" i="20" s="1"/>
  <c r="K51" i="20" s="1"/>
  <c r="D60" i="20"/>
  <c r="G60" i="20" s="1"/>
  <c r="H60" i="20" s="1"/>
  <c r="I60" i="20" s="1"/>
  <c r="AB57" i="3"/>
  <c r="AC57" i="3" s="1"/>
  <c r="J60" i="20" s="1"/>
  <c r="K60" i="20" s="1"/>
  <c r="F32" i="13"/>
  <c r="H32" i="13"/>
  <c r="I31" i="13"/>
  <c r="J31" i="13" s="1"/>
  <c r="G32" i="13"/>
  <c r="C29" i="20"/>
  <c r="AB26" i="3"/>
  <c r="AC26" i="3" s="1"/>
  <c r="J29" i="20" s="1"/>
  <c r="K29" i="20" s="1"/>
  <c r="C28" i="20"/>
  <c r="AB25" i="3"/>
  <c r="AC25" i="3" s="1"/>
  <c r="J28" i="20" s="1"/>
  <c r="K28" i="20" s="1"/>
  <c r="F27" i="20"/>
  <c r="AB24" i="3"/>
  <c r="AC24" i="3" s="1"/>
  <c r="J27" i="20" s="1"/>
  <c r="K27" i="20" s="1"/>
  <c r="C26" i="20"/>
  <c r="AB23" i="3"/>
  <c r="AC23" i="3" s="1"/>
  <c r="J26" i="20" s="1"/>
  <c r="K26" i="20" s="1"/>
  <c r="C52" i="20"/>
  <c r="G52" i="20" s="1"/>
  <c r="H52" i="20" s="1"/>
  <c r="I52" i="20" s="1"/>
  <c r="AB49" i="3"/>
  <c r="AC49" i="3" s="1"/>
  <c r="J52" i="20" s="1"/>
  <c r="K52" i="20" s="1"/>
  <c r="C12" i="20"/>
  <c r="AB10" i="3"/>
  <c r="AC10" i="3" s="1"/>
  <c r="J12" i="20" s="1"/>
  <c r="K12" i="20" s="1"/>
  <c r="C75" i="20"/>
  <c r="G75" i="20" s="1"/>
  <c r="H75" i="20" s="1"/>
  <c r="I75" i="20" s="1"/>
  <c r="AB72" i="3"/>
  <c r="AC72" i="3" s="1"/>
  <c r="J75" i="20" s="1"/>
  <c r="K75" i="20" s="1"/>
  <c r="C53" i="20"/>
  <c r="G53" i="20" s="1"/>
  <c r="H53" i="20" s="1"/>
  <c r="I53" i="20" s="1"/>
  <c r="AB50" i="3"/>
  <c r="AC50" i="3" s="1"/>
  <c r="J53" i="20" s="1"/>
  <c r="K53" i="20" s="1"/>
  <c r="G38" i="20"/>
  <c r="H38" i="20" s="1"/>
  <c r="I38" i="20" s="1"/>
  <c r="C14" i="20"/>
  <c r="AB12" i="3"/>
  <c r="AC12" i="3" s="1"/>
  <c r="J14" i="20" s="1"/>
  <c r="K14" i="20" s="1"/>
  <c r="AB45" i="3"/>
  <c r="AC45" i="3" s="1"/>
  <c r="J48" i="20" s="1"/>
  <c r="K48" i="20" s="1"/>
  <c r="G67" i="20"/>
  <c r="H67" i="20" s="1"/>
  <c r="I67" i="20" s="1"/>
  <c r="G54" i="20"/>
  <c r="H54" i="20" s="1"/>
  <c r="I54" i="20" s="1"/>
  <c r="H37" i="13"/>
  <c r="G37" i="13"/>
  <c r="F37" i="13"/>
  <c r="AB58" i="3"/>
  <c r="AC58" i="3" s="1"/>
  <c r="J61" i="20" s="1"/>
  <c r="K61" i="20" s="1"/>
  <c r="AB47" i="3"/>
  <c r="AC47" i="3" s="1"/>
  <c r="J50" i="20" s="1"/>
  <c r="K50" i="20" s="1"/>
  <c r="L50" i="20" s="1"/>
  <c r="T50" i="20" s="1"/>
  <c r="U50" i="20" s="1"/>
  <c r="C57" i="20"/>
  <c r="G57" i="20" s="1"/>
  <c r="H57" i="20" s="1"/>
  <c r="I57" i="20" s="1"/>
  <c r="AB54" i="3"/>
  <c r="AC54" i="3" s="1"/>
  <c r="J57" i="20" s="1"/>
  <c r="K57" i="20" s="1"/>
  <c r="AB46" i="3"/>
  <c r="AC46" i="3" s="1"/>
  <c r="J49" i="20" s="1"/>
  <c r="K49" i="20" s="1"/>
  <c r="G74" i="20"/>
  <c r="H74" i="20" s="1"/>
  <c r="I74" i="20" s="1"/>
  <c r="C31" i="20"/>
  <c r="AB28" i="3"/>
  <c r="AC28" i="3" s="1"/>
  <c r="J31" i="20" s="1"/>
  <c r="K31" i="20" s="1"/>
  <c r="C85" i="20"/>
  <c r="G85" i="20" s="1"/>
  <c r="H85" i="20" s="1"/>
  <c r="I85" i="20" s="1"/>
  <c r="AB82" i="3"/>
  <c r="AC82" i="3" s="1"/>
  <c r="J85" i="20" s="1"/>
  <c r="K85" i="20" s="1"/>
  <c r="C83" i="20"/>
  <c r="G83" i="20" s="1"/>
  <c r="H83" i="20" s="1"/>
  <c r="I83" i="20" s="1"/>
  <c r="AB80" i="3"/>
  <c r="AC80" i="3" s="1"/>
  <c r="J83" i="20" s="1"/>
  <c r="K83" i="20" s="1"/>
  <c r="D47" i="20"/>
  <c r="G47" i="20" s="1"/>
  <c r="H47" i="20" s="1"/>
  <c r="I47" i="20" s="1"/>
  <c r="AB44" i="3"/>
  <c r="AC44" i="3" s="1"/>
  <c r="J47" i="20" s="1"/>
  <c r="K47" i="20" s="1"/>
  <c r="G65" i="20"/>
  <c r="H65" i="20" s="1"/>
  <c r="I65" i="20" s="1"/>
  <c r="C71" i="20"/>
  <c r="G71" i="20" s="1"/>
  <c r="H71" i="20" s="1"/>
  <c r="I71" i="20" s="1"/>
  <c r="AB68" i="3"/>
  <c r="AC68" i="3" s="1"/>
  <c r="J71" i="20" s="1"/>
  <c r="K71" i="20" s="1"/>
  <c r="C76" i="20"/>
  <c r="G76" i="20" s="1"/>
  <c r="H76" i="20" s="1"/>
  <c r="I76" i="20" s="1"/>
  <c r="AB73" i="3"/>
  <c r="AC73" i="3" s="1"/>
  <c r="J76" i="20" s="1"/>
  <c r="K76" i="20" s="1"/>
  <c r="C79" i="20"/>
  <c r="G79" i="20" s="1"/>
  <c r="H79" i="20" s="1"/>
  <c r="I79" i="20" s="1"/>
  <c r="AB76" i="3"/>
  <c r="AC76" i="3" s="1"/>
  <c r="J79" i="20" s="1"/>
  <c r="K79" i="20" s="1"/>
  <c r="D91" i="20"/>
  <c r="G91" i="20" s="1"/>
  <c r="H91" i="20" s="1"/>
  <c r="I91" i="20" s="1"/>
  <c r="AB88" i="3"/>
  <c r="AC88" i="3" s="1"/>
  <c r="J91" i="20" s="1"/>
  <c r="K91" i="20" s="1"/>
  <c r="C81" i="20"/>
  <c r="G81" i="20" s="1"/>
  <c r="H81" i="20" s="1"/>
  <c r="I81" i="20" s="1"/>
  <c r="AB78" i="3"/>
  <c r="AC78" i="3" s="1"/>
  <c r="J81" i="20" s="1"/>
  <c r="K81" i="20" s="1"/>
  <c r="AB55" i="3"/>
  <c r="AC55" i="3" s="1"/>
  <c r="J58" i="20" s="1"/>
  <c r="K58" i="20" s="1"/>
  <c r="C11" i="20"/>
  <c r="AB9" i="3"/>
  <c r="AC9" i="3" s="1"/>
  <c r="J11" i="20" s="1"/>
  <c r="K11" i="20" s="1"/>
  <c r="G63" i="20"/>
  <c r="H63" i="20" s="1"/>
  <c r="I63" i="20" s="1"/>
  <c r="G48" i="20"/>
  <c r="H48" i="20" s="1"/>
  <c r="I48" i="20" s="1"/>
  <c r="AB62" i="3"/>
  <c r="AC62" i="3" s="1"/>
  <c r="J65" i="20" s="1"/>
  <c r="K65" i="20" s="1"/>
  <c r="H34" i="13"/>
  <c r="AB79" i="3"/>
  <c r="AC79" i="3" s="1"/>
  <c r="J82" i="20" s="1"/>
  <c r="K82" i="20" s="1"/>
  <c r="D32" i="1"/>
  <c r="G32" i="1" s="1"/>
  <c r="H32" i="1" s="1"/>
  <c r="I32" i="1" s="1"/>
  <c r="Q32" i="1" s="1"/>
  <c r="G32" i="20"/>
  <c r="H32" i="20" s="1"/>
  <c r="I32" i="20" s="1"/>
  <c r="G61" i="20"/>
  <c r="H61" i="20" s="1"/>
  <c r="I61" i="20" s="1"/>
  <c r="E78" i="20"/>
  <c r="G78" i="20" s="1"/>
  <c r="H78" i="20" s="1"/>
  <c r="I78" i="20" s="1"/>
  <c r="AB75" i="3"/>
  <c r="AC75" i="3" s="1"/>
  <c r="J78" i="20" s="1"/>
  <c r="K78" i="20" s="1"/>
  <c r="C89" i="20"/>
  <c r="G89" i="20" s="1"/>
  <c r="H89" i="20" s="1"/>
  <c r="I89" i="20" s="1"/>
  <c r="AB86" i="3"/>
  <c r="AC86" i="3" s="1"/>
  <c r="J89" i="20" s="1"/>
  <c r="K89" i="20" s="1"/>
  <c r="B52" i="3"/>
  <c r="C23" i="20"/>
  <c r="AB20" i="3"/>
  <c r="AC20" i="3" s="1"/>
  <c r="J23" i="20" s="1"/>
  <c r="K23" i="20" s="1"/>
  <c r="E13" i="20"/>
  <c r="AB11" i="3"/>
  <c r="AC11" i="3" s="1"/>
  <c r="J13" i="20" s="1"/>
  <c r="K13" i="20" s="1"/>
  <c r="C20" i="20"/>
  <c r="AB17" i="3"/>
  <c r="AC17" i="3" s="1"/>
  <c r="J20" i="20" s="1"/>
  <c r="K20" i="20" s="1"/>
  <c r="C72" i="20"/>
  <c r="G72" i="20" s="1"/>
  <c r="H72" i="20" s="1"/>
  <c r="I72" i="20" s="1"/>
  <c r="AB69" i="3"/>
  <c r="AC69" i="3" s="1"/>
  <c r="J72" i="20" s="1"/>
  <c r="K72" i="20" s="1"/>
  <c r="C17" i="20"/>
  <c r="AB15" i="3"/>
  <c r="AC15" i="3" s="1"/>
  <c r="J17" i="20" s="1"/>
  <c r="K17" i="20" s="1"/>
  <c r="C30" i="20"/>
  <c r="AB27" i="3"/>
  <c r="AC27" i="3" s="1"/>
  <c r="J30" i="20" s="1"/>
  <c r="K30" i="20" s="1"/>
  <c r="C21" i="20"/>
  <c r="AB18" i="3"/>
  <c r="AC18" i="3" s="1"/>
  <c r="J21" i="20" s="1"/>
  <c r="K21" i="20" s="1"/>
  <c r="C62" i="20"/>
  <c r="G62" i="20" s="1"/>
  <c r="H62" i="20" s="1"/>
  <c r="I62" i="20" s="1"/>
  <c r="AB59" i="3"/>
  <c r="AC59" i="3" s="1"/>
  <c r="J62" i="20" s="1"/>
  <c r="K62" i="20" s="1"/>
  <c r="C80" i="20"/>
  <c r="G80" i="20" s="1"/>
  <c r="H80" i="20" s="1"/>
  <c r="I80" i="20" s="1"/>
  <c r="AB77" i="3"/>
  <c r="AC77" i="3" s="1"/>
  <c r="J80" i="20" s="1"/>
  <c r="K80" i="20" s="1"/>
  <c r="C25" i="20"/>
  <c r="AB22" i="3"/>
  <c r="AC22" i="3" s="1"/>
  <c r="J25" i="20" s="1"/>
  <c r="K25" i="20" s="1"/>
  <c r="C86" i="20"/>
  <c r="G86" i="20" s="1"/>
  <c r="H86" i="20" s="1"/>
  <c r="I86" i="20" s="1"/>
  <c r="AB83" i="3"/>
  <c r="AC83" i="3" s="1"/>
  <c r="J86" i="20" s="1"/>
  <c r="K86" i="20" s="1"/>
  <c r="AB67" i="3"/>
  <c r="AC67" i="3" s="1"/>
  <c r="J70" i="20" s="1"/>
  <c r="K70" i="20" s="1"/>
  <c r="B40" i="3"/>
  <c r="C16" i="20"/>
  <c r="AB14" i="3"/>
  <c r="AC14" i="3" s="1"/>
  <c r="J16" i="20" s="1"/>
  <c r="K16" i="20" s="1"/>
  <c r="D24" i="1"/>
  <c r="G24" i="1" s="1"/>
  <c r="H24" i="1" s="1"/>
  <c r="I24" i="1" s="1"/>
  <c r="Q24" i="1" s="1"/>
  <c r="G24" i="20"/>
  <c r="H24" i="20" s="1"/>
  <c r="I24" i="20" s="1"/>
  <c r="AB70" i="3"/>
  <c r="AC70" i="3" s="1"/>
  <c r="J73" i="20" s="1"/>
  <c r="K73" i="20" s="1"/>
  <c r="G34" i="1"/>
  <c r="H34" i="1" s="1"/>
  <c r="I34" i="1" s="1"/>
  <c r="Q34" i="1" s="1"/>
  <c r="AB71" i="3"/>
  <c r="AC71" i="3" s="1"/>
  <c r="J74" i="20" s="1"/>
  <c r="K74" i="20" s="1"/>
  <c r="AB60" i="3"/>
  <c r="AC60" i="3" s="1"/>
  <c r="J63" i="20" s="1"/>
  <c r="K63" i="20" s="1"/>
  <c r="J19" i="20" l="1"/>
  <c r="K19" i="20" s="1"/>
  <c r="J18" i="20"/>
  <c r="K18" i="20" s="1"/>
  <c r="G18" i="20"/>
  <c r="H18" i="20" s="1"/>
  <c r="I18" i="20" s="1"/>
  <c r="L18" i="20" s="1"/>
  <c r="T18" i="20" s="1"/>
  <c r="U18" i="20" s="1"/>
  <c r="L58" i="20"/>
  <c r="T58" i="20" s="1"/>
  <c r="U58" i="20" s="1"/>
  <c r="L82" i="20"/>
  <c r="T82" i="20" s="1"/>
  <c r="U82" i="20" s="1"/>
  <c r="L87" i="20"/>
  <c r="T87" i="20" s="1"/>
  <c r="U87" i="20" s="1"/>
  <c r="F34" i="13"/>
  <c r="L49" i="20"/>
  <c r="T49" i="20" s="1"/>
  <c r="U49" i="20" s="1"/>
  <c r="L66" i="20"/>
  <c r="T66" i="20" s="1"/>
  <c r="U66" i="20" s="1"/>
  <c r="J36" i="13"/>
  <c r="K36" i="13" s="1"/>
  <c r="M36" i="13" s="1"/>
  <c r="N36" i="13" s="1"/>
  <c r="L59" i="20"/>
  <c r="T59" i="20" s="1"/>
  <c r="U59" i="20" s="1"/>
  <c r="L64" i="20"/>
  <c r="T64" i="20" s="1"/>
  <c r="U64" i="20" s="1"/>
  <c r="L90" i="20"/>
  <c r="T90" i="20" s="1"/>
  <c r="U90" i="20" s="1"/>
  <c r="L34" i="20"/>
  <c r="T34" i="20" s="1"/>
  <c r="U34" i="20" s="1"/>
  <c r="L43" i="20"/>
  <c r="T43" i="20" s="1"/>
  <c r="U43" i="20" s="1"/>
  <c r="L37" i="20"/>
  <c r="T37" i="20" s="1"/>
  <c r="U37" i="20" s="1"/>
  <c r="L35" i="20"/>
  <c r="T35" i="20" s="1"/>
  <c r="U35" i="20" s="1"/>
  <c r="L41" i="20"/>
  <c r="T41" i="20" s="1"/>
  <c r="U41" i="20" s="1"/>
  <c r="L77" i="20"/>
  <c r="T77" i="20" s="1"/>
  <c r="U77" i="20" s="1"/>
  <c r="L36" i="20"/>
  <c r="T36" i="20" s="1"/>
  <c r="U36" i="20" s="1"/>
  <c r="G33" i="13"/>
  <c r="L45" i="20"/>
  <c r="T45" i="20" s="1"/>
  <c r="U45" i="20" s="1"/>
  <c r="L44" i="20"/>
  <c r="T44" i="20" s="1"/>
  <c r="U44" i="20" s="1"/>
  <c r="L42" i="20"/>
  <c r="T42" i="20" s="1"/>
  <c r="U42" i="20" s="1"/>
  <c r="L73" i="20"/>
  <c r="T73" i="20" s="1"/>
  <c r="U73" i="20" s="1"/>
  <c r="H33" i="13"/>
  <c r="L69" i="20"/>
  <c r="T69" i="20" s="1"/>
  <c r="U69" i="20" s="1"/>
  <c r="L70" i="20"/>
  <c r="T70" i="20" s="1"/>
  <c r="U70" i="20" s="1"/>
  <c r="L55" i="20"/>
  <c r="T55" i="20" s="1"/>
  <c r="U55" i="20" s="1"/>
  <c r="L88" i="20"/>
  <c r="T88" i="20" s="1"/>
  <c r="U88" i="20" s="1"/>
  <c r="L40" i="20"/>
  <c r="T40" i="20" s="1"/>
  <c r="U40" i="20" s="1"/>
  <c r="L39" i="20"/>
  <c r="T39" i="20" s="1"/>
  <c r="U39" i="20" s="1"/>
  <c r="B81" i="3"/>
  <c r="L84" i="20"/>
  <c r="T84" i="20" s="1"/>
  <c r="U84" i="20" s="1"/>
  <c r="J38" i="13"/>
  <c r="K38" i="13" s="1"/>
  <c r="M38" i="13" s="1"/>
  <c r="N38" i="13" s="1"/>
  <c r="L68" i="20"/>
  <c r="T68" i="20" s="1"/>
  <c r="U68" i="20" s="1"/>
  <c r="B65" i="3"/>
  <c r="B43" i="3"/>
  <c r="L46" i="20"/>
  <c r="T46" i="20" s="1"/>
  <c r="U46" i="20" s="1"/>
  <c r="C33" i="1"/>
  <c r="G33" i="1" s="1"/>
  <c r="H33" i="1" s="1"/>
  <c r="I33" i="1" s="1"/>
  <c r="Q33" i="1" s="1"/>
  <c r="G33" i="20"/>
  <c r="H33" i="20" s="1"/>
  <c r="I33" i="20" s="1"/>
  <c r="B30" i="3" s="1"/>
  <c r="J35" i="13"/>
  <c r="K35" i="13" s="1"/>
  <c r="M35" i="13" s="1"/>
  <c r="N35" i="13" s="1"/>
  <c r="B57" i="13"/>
  <c r="L60" i="20"/>
  <c r="T60" i="20" s="1"/>
  <c r="U60" i="20" s="1"/>
  <c r="B57" i="3"/>
  <c r="B83" i="3"/>
  <c r="L86" i="20"/>
  <c r="T86" i="20" s="1"/>
  <c r="U86" i="20" s="1"/>
  <c r="B75" i="3"/>
  <c r="L78" i="20"/>
  <c r="T78" i="20" s="1"/>
  <c r="U78" i="20" s="1"/>
  <c r="B88" i="3"/>
  <c r="L91" i="20"/>
  <c r="T91" i="20" s="1"/>
  <c r="U91" i="20" s="1"/>
  <c r="B82" i="3"/>
  <c r="L85" i="20"/>
  <c r="T85" i="20" s="1"/>
  <c r="U85" i="20" s="1"/>
  <c r="L57" i="20"/>
  <c r="T57" i="20" s="1"/>
  <c r="U57" i="20" s="1"/>
  <c r="B54" i="3"/>
  <c r="C15" i="1"/>
  <c r="G14" i="20"/>
  <c r="H14" i="20" s="1"/>
  <c r="I14" i="20" s="1"/>
  <c r="B50" i="3"/>
  <c r="L53" i="20"/>
  <c r="T53" i="20" s="1"/>
  <c r="U53" i="20" s="1"/>
  <c r="D19" i="1"/>
  <c r="G19" i="1" s="1"/>
  <c r="H19" i="1" s="1"/>
  <c r="I19" i="1" s="1"/>
  <c r="G19" i="20"/>
  <c r="H19" i="20" s="1"/>
  <c r="I19" i="20" s="1"/>
  <c r="B59" i="3"/>
  <c r="L62" i="20"/>
  <c r="T62" i="20" s="1"/>
  <c r="U62" i="20" s="1"/>
  <c r="C30" i="1"/>
  <c r="G30" i="20"/>
  <c r="H30" i="20" s="1"/>
  <c r="I30" i="20" s="1"/>
  <c r="B58" i="3"/>
  <c r="L61" i="20"/>
  <c r="T61" i="20" s="1"/>
  <c r="U61" i="20" s="1"/>
  <c r="B60" i="3"/>
  <c r="L63" i="20"/>
  <c r="T63" i="20" s="1"/>
  <c r="U63" i="20" s="1"/>
  <c r="L71" i="20"/>
  <c r="T71" i="20" s="1"/>
  <c r="U71" i="20" s="1"/>
  <c r="B68" i="3"/>
  <c r="B80" i="3"/>
  <c r="L83" i="20"/>
  <c r="T83" i="20" s="1"/>
  <c r="U83" i="20" s="1"/>
  <c r="J37" i="13"/>
  <c r="K37" i="13" s="1"/>
  <c r="M37" i="13" s="1"/>
  <c r="N37" i="13" s="1"/>
  <c r="B51" i="3"/>
  <c r="L54" i="20"/>
  <c r="T54" i="20" s="1"/>
  <c r="U54" i="20" s="1"/>
  <c r="C26" i="1"/>
  <c r="G26" i="20"/>
  <c r="H26" i="20" s="1"/>
  <c r="I26" i="20" s="1"/>
  <c r="C29" i="1"/>
  <c r="G29" i="20"/>
  <c r="H29" i="20" s="1"/>
  <c r="I29" i="20" s="1"/>
  <c r="L24" i="20"/>
  <c r="T24" i="20" s="1"/>
  <c r="U24" i="20" s="1"/>
  <c r="B21" i="3"/>
  <c r="C17" i="1"/>
  <c r="G16" i="20"/>
  <c r="H16" i="20" s="1"/>
  <c r="I16" i="20" s="1"/>
  <c r="C18" i="1"/>
  <c r="G17" i="20"/>
  <c r="H17" i="20" s="1"/>
  <c r="I17" i="20" s="1"/>
  <c r="E14" i="1"/>
  <c r="G14" i="1" s="1"/>
  <c r="H14" i="1" s="1"/>
  <c r="I14" i="1" s="1"/>
  <c r="Q14" i="1" s="1"/>
  <c r="G13" i="20"/>
  <c r="H13" i="20" s="1"/>
  <c r="I13" i="20" s="1"/>
  <c r="B45" i="3"/>
  <c r="L48" i="20"/>
  <c r="T48" i="20" s="1"/>
  <c r="U48" i="20" s="1"/>
  <c r="B71" i="3"/>
  <c r="L74" i="20"/>
  <c r="T74" i="20" s="1"/>
  <c r="U74" i="20" s="1"/>
  <c r="L80" i="20"/>
  <c r="T80" i="20" s="1"/>
  <c r="U80" i="20" s="1"/>
  <c r="B77" i="3"/>
  <c r="C21" i="1"/>
  <c r="G21" i="20"/>
  <c r="H21" i="20" s="1"/>
  <c r="I21" i="20" s="1"/>
  <c r="C20" i="1"/>
  <c r="G20" i="20"/>
  <c r="H20" i="20" s="1"/>
  <c r="I20" i="20" s="1"/>
  <c r="L89" i="20"/>
  <c r="T89" i="20" s="1"/>
  <c r="U89" i="20" s="1"/>
  <c r="B86" i="3"/>
  <c r="B29" i="3"/>
  <c r="L32" i="20"/>
  <c r="T32" i="20" s="1"/>
  <c r="U32" i="20" s="1"/>
  <c r="J34" i="13"/>
  <c r="K34" i="13" s="1"/>
  <c r="M34" i="13" s="1"/>
  <c r="N34" i="13" s="1"/>
  <c r="B78" i="3"/>
  <c r="L81" i="20"/>
  <c r="T81" i="20" s="1"/>
  <c r="U81" i="20" s="1"/>
  <c r="B73" i="3"/>
  <c r="L76" i="20"/>
  <c r="T76" i="20" s="1"/>
  <c r="U76" i="20" s="1"/>
  <c r="B62" i="3"/>
  <c r="L65" i="20"/>
  <c r="T65" i="20" s="1"/>
  <c r="U65" i="20" s="1"/>
  <c r="L47" i="20"/>
  <c r="T47" i="20" s="1"/>
  <c r="U47" i="20" s="1"/>
  <c r="B44" i="3"/>
  <c r="B64" i="3"/>
  <c r="L67" i="20"/>
  <c r="T67" i="20" s="1"/>
  <c r="U67" i="20" s="1"/>
  <c r="L38" i="20"/>
  <c r="T38" i="20" s="1"/>
  <c r="U38" i="20" s="1"/>
  <c r="B35" i="3"/>
  <c r="L75" i="20"/>
  <c r="T75" i="20" s="1"/>
  <c r="U75" i="20" s="1"/>
  <c r="B72" i="3"/>
  <c r="L52" i="20"/>
  <c r="T52" i="20" s="1"/>
  <c r="U52" i="20" s="1"/>
  <c r="B49" i="3"/>
  <c r="C28" i="1"/>
  <c r="G28" i="20"/>
  <c r="H28" i="20" s="1"/>
  <c r="I28" i="20" s="1"/>
  <c r="J32" i="13"/>
  <c r="K32" i="13" s="1"/>
  <c r="C22" i="1"/>
  <c r="G22" i="20"/>
  <c r="H22" i="20" s="1"/>
  <c r="I22" i="20" s="1"/>
  <c r="C12" i="1"/>
  <c r="G11" i="20"/>
  <c r="H11" i="20" s="1"/>
  <c r="I11" i="20" s="1"/>
  <c r="C25" i="1"/>
  <c r="G25" i="20"/>
  <c r="H25" i="20" s="1"/>
  <c r="I25" i="20" s="1"/>
  <c r="B69" i="3"/>
  <c r="L72" i="20"/>
  <c r="T72" i="20" s="1"/>
  <c r="U72" i="20" s="1"/>
  <c r="C23" i="1"/>
  <c r="G23" i="20"/>
  <c r="H23" i="20" s="1"/>
  <c r="I23" i="20" s="1"/>
  <c r="B76" i="3"/>
  <c r="L79" i="20"/>
  <c r="T79" i="20" s="1"/>
  <c r="U79" i="20" s="1"/>
  <c r="C31" i="1"/>
  <c r="G31" i="20"/>
  <c r="H31" i="20" s="1"/>
  <c r="I31" i="20" s="1"/>
  <c r="C13" i="1"/>
  <c r="G12" i="20"/>
  <c r="H12" i="20" s="1"/>
  <c r="I12" i="20" s="1"/>
  <c r="F27" i="1"/>
  <c r="G27" i="1" s="1"/>
  <c r="H27" i="1" s="1"/>
  <c r="I27" i="1" s="1"/>
  <c r="Q27" i="1" s="1"/>
  <c r="G27" i="20"/>
  <c r="H27" i="20" s="1"/>
  <c r="I27" i="20" s="1"/>
  <c r="B48" i="3"/>
  <c r="L51" i="20"/>
  <c r="T51" i="20" s="1"/>
  <c r="U51" i="20" s="1"/>
  <c r="C16" i="1"/>
  <c r="G15" i="20"/>
  <c r="H15" i="20" s="1"/>
  <c r="I15" i="20" s="1"/>
  <c r="J33" i="13" l="1"/>
  <c r="K33" i="13" s="1"/>
  <c r="M33" i="13" s="1"/>
  <c r="N33" i="13" s="1"/>
  <c r="L33" i="20"/>
  <c r="T33" i="20" s="1"/>
  <c r="U33" i="20" s="1"/>
  <c r="L12" i="20"/>
  <c r="T12" i="20" s="1"/>
  <c r="U12" i="20" s="1"/>
  <c r="B10" i="3"/>
  <c r="M32" i="13"/>
  <c r="N32" i="13" s="1"/>
  <c r="L17" i="20"/>
  <c r="T17" i="20" s="1"/>
  <c r="U17" i="20" s="1"/>
  <c r="B15" i="3"/>
  <c r="G13" i="1"/>
  <c r="H13" i="1" s="1"/>
  <c r="I13" i="1" s="1"/>
  <c r="Q13" i="1" s="1"/>
  <c r="G12" i="1"/>
  <c r="H12" i="1" s="1"/>
  <c r="I12" i="1" s="1"/>
  <c r="Q12" i="1" s="1"/>
  <c r="B25" i="3"/>
  <c r="L28" i="20"/>
  <c r="T28" i="20" s="1"/>
  <c r="U28" i="20" s="1"/>
  <c r="G20" i="1"/>
  <c r="H20" i="1" s="1"/>
  <c r="I20" i="1" s="1"/>
  <c r="Q20" i="1" s="1"/>
  <c r="G18" i="1"/>
  <c r="H18" i="1" s="1"/>
  <c r="I18" i="1" s="1"/>
  <c r="Q18" i="1" s="1"/>
  <c r="G26" i="1"/>
  <c r="H26" i="1" s="1"/>
  <c r="I26" i="1" s="1"/>
  <c r="Q26" i="1" s="1"/>
  <c r="B27" i="3"/>
  <c r="L30" i="20"/>
  <c r="T30" i="20" s="1"/>
  <c r="U30" i="20" s="1"/>
  <c r="L11" i="20"/>
  <c r="T11" i="20" s="1"/>
  <c r="U11" i="20" s="1"/>
  <c r="B9" i="3"/>
  <c r="L27" i="20"/>
  <c r="T27" i="20" s="1"/>
  <c r="U27" i="20" s="1"/>
  <c r="B24" i="3"/>
  <c r="B20" i="3"/>
  <c r="L23" i="20"/>
  <c r="T23" i="20" s="1"/>
  <c r="U23" i="20" s="1"/>
  <c r="B22" i="3"/>
  <c r="L25" i="20"/>
  <c r="T25" i="20" s="1"/>
  <c r="U25" i="20" s="1"/>
  <c r="L22" i="20"/>
  <c r="T22" i="20" s="1"/>
  <c r="U22" i="20" s="1"/>
  <c r="B19" i="3"/>
  <c r="G28" i="1"/>
  <c r="H28" i="1" s="1"/>
  <c r="I28" i="1" s="1"/>
  <c r="Q28" i="1" s="1"/>
  <c r="B18" i="3"/>
  <c r="L21" i="20"/>
  <c r="T21" i="20" s="1"/>
  <c r="U21" i="20" s="1"/>
  <c r="B11" i="3"/>
  <c r="L13" i="20"/>
  <c r="T13" i="20" s="1"/>
  <c r="U13" i="20" s="1"/>
  <c r="B14" i="3"/>
  <c r="L16" i="20"/>
  <c r="T16" i="20" s="1"/>
  <c r="U16" i="20" s="1"/>
  <c r="L29" i="20"/>
  <c r="T29" i="20" s="1"/>
  <c r="U29" i="20" s="1"/>
  <c r="B26" i="3"/>
  <c r="G30" i="1"/>
  <c r="H30" i="1" s="1"/>
  <c r="I30" i="1" s="1"/>
  <c r="Q30" i="1" s="1"/>
  <c r="L19" i="20"/>
  <c r="T19" i="20" s="1"/>
  <c r="U19" i="20" s="1"/>
  <c r="B16" i="3"/>
  <c r="B12" i="3"/>
  <c r="L14" i="20"/>
  <c r="T14" i="20" s="1"/>
  <c r="U14" i="20" s="1"/>
  <c r="L20" i="20"/>
  <c r="T20" i="20" s="1"/>
  <c r="U20" i="20" s="1"/>
  <c r="B17" i="3"/>
  <c r="L26" i="20"/>
  <c r="T26" i="20" s="1"/>
  <c r="U26" i="20" s="1"/>
  <c r="B23" i="3"/>
  <c r="B13" i="3"/>
  <c r="L15" i="20"/>
  <c r="T15" i="20" s="1"/>
  <c r="U15" i="20" s="1"/>
  <c r="B28" i="3"/>
  <c r="L31" i="20"/>
  <c r="T31" i="20" s="1"/>
  <c r="U31" i="20" s="1"/>
  <c r="G16" i="1"/>
  <c r="H16" i="1" s="1"/>
  <c r="I16" i="1" s="1"/>
  <c r="Q16" i="1" s="1"/>
  <c r="G31" i="1"/>
  <c r="H31" i="1" s="1"/>
  <c r="I31" i="1" s="1"/>
  <c r="Q31" i="1" s="1"/>
  <c r="G23" i="1"/>
  <c r="H23" i="1" s="1"/>
  <c r="I23" i="1" s="1"/>
  <c r="Q23" i="1" s="1"/>
  <c r="G25" i="1"/>
  <c r="H25" i="1" s="1"/>
  <c r="I25" i="1" s="1"/>
  <c r="Q25" i="1" s="1"/>
  <c r="G22" i="1"/>
  <c r="H22" i="1" s="1"/>
  <c r="I22" i="1" s="1"/>
  <c r="Q22" i="1" s="1"/>
  <c r="G21" i="1"/>
  <c r="H21" i="1" s="1"/>
  <c r="I21" i="1" s="1"/>
  <c r="Q21" i="1" s="1"/>
  <c r="G17" i="1"/>
  <c r="H17" i="1" s="1"/>
  <c r="I17" i="1" s="1"/>
  <c r="Q17" i="1" s="1"/>
  <c r="G29" i="1"/>
  <c r="H29" i="1" s="1"/>
  <c r="I29" i="1" s="1"/>
  <c r="Q29" i="1" s="1"/>
  <c r="G15" i="1"/>
  <c r="H15" i="1" s="1"/>
  <c r="I15" i="1" s="1"/>
  <c r="Q15" i="1" s="1"/>
  <c r="R15" i="1" s="1"/>
  <c r="R22" i="1" l="1"/>
  <c r="R23" i="1"/>
  <c r="R16" i="1"/>
  <c r="R28" i="1"/>
  <c r="R18" i="1"/>
  <c r="R12" i="1"/>
  <c r="R19" i="1"/>
  <c r="R24" i="1"/>
  <c r="R35" i="1"/>
  <c r="R34" i="1"/>
  <c r="R32" i="1"/>
  <c r="R27" i="1"/>
  <c r="R17" i="1"/>
  <c r="R29" i="1"/>
  <c r="R21" i="1"/>
  <c r="R25" i="1"/>
  <c r="R31" i="1"/>
  <c r="R30" i="1"/>
  <c r="R26" i="1"/>
  <c r="R20" i="1"/>
  <c r="R13" i="1"/>
  <c r="R14" i="1"/>
  <c r="R33" i="1"/>
  <c r="N43" i="13"/>
  <c r="B50" i="13" s="1"/>
  <c r="B58" i="13" s="1"/>
  <c r="B59" i="13" s="1"/>
  <c r="C59" i="13" s="1"/>
  <c r="K43" i="13"/>
  <c r="B49" i="13" s="1"/>
  <c r="B60" i="13" l="1"/>
</calcChain>
</file>

<file path=xl/comments1.xml><?xml version="1.0" encoding="utf-8"?>
<comments xmlns="http://schemas.openxmlformats.org/spreadsheetml/2006/main">
  <authors>
    <author/>
  </authors>
  <commentList>
    <comment ref="C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authors>
    <author>Diana Karina Ruiz Perilla</author>
  </authors>
  <commentList>
    <comment ref="N12" authorId="0" shapeId="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authors>
    <author>Myriam Cubillos Benavides</author>
  </authors>
  <commentList>
    <comment ref="C10" authorId="0" shapeId="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shapeId="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<sst xmlns="http://schemas.openxmlformats.org/spreadsheetml/2006/main" count="1396" uniqueCount="770">
  <si>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</si>
  <si>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</si>
  <si>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</si>
  <si>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</si>
  <si>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</si>
  <si>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</si>
  <si>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</si>
  <si>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</si>
  <si>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</si>
  <si>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</si>
  <si>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</si>
  <si>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</si>
  <si>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</si>
  <si>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</si>
  <si>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</si>
  <si>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</si>
  <si>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Logo Entidad</t>
  </si>
  <si>
    <t>UNIVERSO DE AUDITORIA
PRIORIZACIÓN</t>
  </si>
  <si>
    <t>LOGO ENTIDAD</t>
  </si>
  <si>
    <t>Unidad Auditable</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</si>
  <si>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</si>
  <si>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</si>
  <si>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</si>
  <si>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</si>
  <si>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</si>
  <si>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</si>
  <si>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OBJETIVO</t>
  </si>
  <si>
    <t>ROL</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</si>
  <si>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</si>
  <si>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</si>
  <si>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</si>
  <si>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</si>
  <si>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</si>
  <si>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</si>
  <si>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</si>
  <si>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</si>
  <si>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</si>
  <si>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</si>
  <si>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</si>
  <si>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</si>
  <si>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</si>
  <si>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</si>
  <si>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</si>
  <si>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</si>
  <si>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</si>
  <si>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</si>
  <si>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</si>
  <si>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</si>
  <si>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</si>
  <si>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</si>
  <si>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</si>
  <si>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</si>
  <si>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</si>
  <si>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</si>
  <si>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</si>
  <si>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</si>
  <si>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</si>
  <si>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</si>
  <si>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</si>
  <si>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</si>
  <si>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</si>
  <si>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</si>
  <si>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</si>
  <si>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</si>
  <si>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</si>
  <si>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</si>
  <si>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</si>
  <si>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</si>
  <si>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</si>
  <si>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</si>
  <si>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</si>
  <si>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</si>
  <si>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</si>
  <si>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</si>
  <si>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</si>
  <si>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</si>
  <si>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</si>
  <si>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</si>
  <si>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</si>
  <si>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</si>
  <si>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</si>
  <si>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</si>
  <si>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</si>
  <si>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</si>
  <si>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</si>
  <si>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</si>
  <si>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</si>
  <si>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</si>
  <si>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</si>
  <si>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</si>
  <si>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</si>
  <si>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</si>
  <si>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</si>
  <si>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</si>
  <si>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</si>
  <si>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</si>
  <si>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</si>
  <si>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</si>
  <si>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</si>
  <si>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</si>
  <si>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</si>
  <si>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</si>
  <si>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</si>
  <si>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</si>
  <si>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</si>
  <si>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</si>
  <si>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</si>
  <si>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</si>
  <si>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</si>
  <si>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</si>
  <si>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</si>
  <si>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</si>
  <si>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</si>
  <si>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</si>
  <si>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</si>
  <si>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</si>
  <si>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</si>
  <si>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</si>
  <si>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</si>
  <si>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</si>
  <si>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</si>
  <si>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de Seguimiento</t>
  </si>
  <si>
    <t>Informe de Auditoria</t>
  </si>
  <si>
    <t>Calcule las horas requeridas para desarrollar PPAI</t>
  </si>
  <si>
    <t>1.2</t>
  </si>
  <si>
    <t>1.3</t>
  </si>
  <si>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</si>
  <si>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</si>
  <si>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</si>
  <si>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</si>
  <si>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</si>
  <si>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</si>
  <si>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</si>
  <si>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</si>
  <si>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</si>
  <si>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</si>
  <si>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</si>
  <si>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</si>
  <si>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</si>
  <si>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</si>
  <si>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</si>
  <si>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</si>
  <si>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</si>
  <si>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</si>
  <si>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</si>
  <si>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</si>
  <si>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</si>
  <si>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</si>
  <si>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</si>
  <si>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</si>
  <si>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</si>
  <si>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</si>
  <si>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</si>
  <si>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</si>
  <si>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</si>
  <si>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</si>
  <si>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</si>
  <si>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</si>
  <si>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</si>
  <si>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</si>
  <si>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</si>
  <si>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</si>
  <si>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</si>
  <si>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</si>
  <si>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</si>
  <si>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</si>
  <si>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</si>
  <si>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</si>
  <si>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</si>
  <si>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</si>
  <si>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</si>
  <si>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</si>
  <si>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</si>
  <si>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</si>
  <si>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</si>
  <si>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</si>
  <si>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</si>
  <si>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</si>
  <si>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</si>
  <si>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</si>
  <si>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</si>
  <si>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</si>
  <si>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</si>
  <si>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</si>
  <si>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</si>
  <si>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</si>
  <si>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</si>
  <si>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</si>
  <si>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</si>
  <si>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</si>
  <si>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</si>
  <si>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</si>
  <si>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</si>
  <si>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</si>
  <si>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</si>
  <si>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</si>
  <si>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</si>
  <si>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</si>
  <si>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</si>
  <si>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</si>
  <si>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</si>
  <si>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</si>
  <si>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</si>
  <si>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</si>
  <si>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</si>
  <si>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</si>
  <si>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</si>
  <si>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</si>
  <si>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</si>
  <si>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</si>
  <si>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 xml:space="preserve">MESES </t>
  </si>
  <si>
    <t>Enfoque de prevención</t>
  </si>
  <si>
    <t>Liderazgo Estratégico</t>
  </si>
  <si>
    <t>Relación con Entes de Control</t>
  </si>
  <si>
    <t>Versión del Plan Anual de Auditorías:</t>
  </si>
  <si>
    <t>Conformación  del Equipo de Control Interno:</t>
  </si>
  <si>
    <t>COORDINADOR DE LA AUDITORÍA (SEGUNDA/TERCERA  LINEA DE DEFENSA)</t>
  </si>
  <si>
    <t>TRABAJO DE AUDITORÍA</t>
  </si>
  <si>
    <t>AUDITORÍAS INTERNAS/SEGUIMIENTOS</t>
  </si>
  <si>
    <t>INFORMES REGLAMENTARIOS</t>
  </si>
  <si>
    <t>ATENCIÓN A ENTES DE CONTROL</t>
  </si>
  <si>
    <t xml:space="preserve">TIPO DE TRABAJO DE AUDITORÍA </t>
  </si>
  <si>
    <t>FASE</t>
  </si>
  <si>
    <t>2.CALCULO DIAS -HORAS LABORALES POR AÑO</t>
  </si>
  <si>
    <t>TOTALES</t>
  </si>
  <si>
    <t>Total horas por trabajo de auditoría</t>
  </si>
  <si>
    <t>Horas x trabajo de auditoría</t>
  </si>
  <si>
    <t>MES</t>
  </si>
  <si>
    <t>DIAS PERMISO SINDICAL</t>
  </si>
  <si>
    <t>HORAS DISPONIBLES POR MES</t>
  </si>
  <si>
    <t>DIAS HABILES DISPONIBLES</t>
  </si>
  <si>
    <t>HORAS HÁBILES DISPONIBLES</t>
  </si>
  <si>
    <t>2.CALCULO HORAS DISPONIBLES EQUIPO AUDITOR</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</si>
  <si>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</si>
  <si>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</si>
  <si>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</si>
  <si>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</si>
  <si>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</si>
  <si>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</si>
  <si>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</si>
  <si>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</si>
  <si>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</si>
  <si>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</si>
  <si>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</si>
  <si>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</si>
  <si>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</si>
  <si>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</si>
  <si>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</si>
  <si>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</si>
  <si>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</si>
  <si>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</si>
  <si>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</si>
  <si>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</si>
  <si>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</si>
  <si>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</si>
  <si>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</si>
  <si>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</si>
  <si>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</si>
  <si>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</si>
  <si>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</si>
  <si>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</si>
  <si>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</si>
  <si>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</si>
  <si>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</si>
  <si>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</si>
  <si>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</si>
  <si>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</si>
  <si>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</si>
  <si>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</si>
  <si>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</si>
  <si>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</si>
  <si>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</si>
  <si>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</si>
  <si>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</si>
  <si>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</si>
  <si>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</si>
  <si>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</si>
  <si>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</si>
  <si>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</si>
  <si>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</si>
  <si>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</si>
  <si>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</si>
  <si>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</si>
  <si>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</si>
  <si>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</si>
  <si>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</si>
  <si>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</si>
  <si>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</si>
  <si>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</si>
  <si>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</si>
  <si>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</si>
  <si>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</si>
  <si>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</si>
  <si>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</si>
  <si>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</si>
  <si>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</si>
  <si>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</si>
  <si>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</si>
  <si>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</si>
  <si>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</si>
  <si>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</si>
  <si>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</si>
  <si>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</si>
  <si>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</si>
  <si>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</si>
  <si>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</si>
  <si>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</si>
  <si>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</si>
  <si>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</si>
  <si>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</si>
  <si>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</si>
  <si>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</si>
  <si>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</si>
  <si>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</si>
  <si>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</si>
  <si>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</si>
  <si>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</si>
  <si>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</si>
  <si>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</si>
  <si>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</si>
  <si>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</si>
  <si>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</si>
  <si>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</si>
  <si>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</si>
  <si>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</si>
  <si>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</si>
  <si>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</si>
  <si>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</si>
  <si>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</si>
  <si>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</si>
  <si>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</si>
  <si>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</si>
  <si>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</si>
  <si>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</si>
  <si>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</si>
  <si>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</si>
  <si>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</si>
  <si>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</si>
  <si>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</si>
  <si>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</si>
  <si>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</si>
  <si>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</si>
  <si>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</si>
  <si>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</si>
  <si>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</si>
  <si>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</si>
  <si>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</si>
  <si>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</si>
  <si>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</si>
  <si>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</si>
  <si>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</si>
  <si>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</si>
  <si>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</si>
  <si>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</si>
  <si>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</si>
  <si>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</si>
  <si>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</si>
  <si>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</si>
  <si>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</si>
  <si>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</si>
  <si>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</si>
  <si>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</si>
  <si>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</si>
  <si>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</si>
  <si>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</si>
  <si>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</si>
  <si>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</si>
  <si>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</si>
  <si>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</si>
  <si>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</si>
  <si>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t>N/A</t>
  </si>
  <si>
    <t>Si</t>
  </si>
  <si>
    <t>Sí</t>
  </si>
  <si>
    <t>JANETH VILLALBA MAHECHA</t>
  </si>
  <si>
    <t xml:space="preserve">Realizar un examen sistemático, objetivo e independiente de los procesos, actividades, operaciones y resultados de las áreas de la empresa; que permita emitir juicios basados en evidencias sobre los aspectos más importantes de la gestión, formular recomendaciones de ajuste y mejoramiento, a fin de que se obtengan los resultados esperados. </t>
  </si>
  <si>
    <t>Seguimiento de Acuerdos de Gestión</t>
  </si>
  <si>
    <t>Seguimiento Informes Gobierno Digital</t>
  </si>
  <si>
    <t>Seguimiento Comité de Sostenibilidad Contable</t>
  </si>
  <si>
    <t>José Edwin Lozano</t>
  </si>
  <si>
    <t>Campaña de fomento de Autocontrol</t>
  </si>
  <si>
    <t>Trasmisión Cuenta Mensual Contraloría</t>
  </si>
  <si>
    <t>Jefe Oficina de Control Interno         
Técnico Apoyo Atención entes de control
Auditor Designado</t>
  </si>
  <si>
    <t>Ley 1474 de 2011</t>
  </si>
  <si>
    <t>Equipo Oficina de Control Interno</t>
  </si>
  <si>
    <t>Presentación y Aprobación programa de Auditorías</t>
  </si>
  <si>
    <t>Coordinar y Ejecutar Sesiones del  Comité Institucional de Coordinación de Control Interno</t>
  </si>
  <si>
    <t>Janeth Villalba Mahecha</t>
  </si>
  <si>
    <t>Asistencia y Participación en los Comités Institucionales</t>
  </si>
  <si>
    <t>X</t>
  </si>
  <si>
    <t>Seguimientos a publicaciones de la Contratación en la Plataforma SECOP</t>
  </si>
  <si>
    <t>Seguimiento Comité de Defensa Judicial, Conciliación y Repetición y SIPROJ</t>
  </si>
  <si>
    <t xml:space="preserve">Seguimiento a Verificación, Recomendaciones y Resultados sobre Cumplimiento de normas en materia de Derechos de Autor sobre Software </t>
  </si>
  <si>
    <t>Seguimiento a la Austeridad en el Gasto</t>
  </si>
  <si>
    <t>Evaluación de los Riesgos  de Corrupción</t>
  </si>
  <si>
    <t>Evaluación de los Riesgos  de Gestión</t>
  </si>
  <si>
    <t>Seguimiento Plan de Mejoramiento Contraloría</t>
  </si>
  <si>
    <t>Prestar los servicios de asesoría y acompañamiento requeridos</t>
  </si>
  <si>
    <t>Seguimiento Estado de Cumplimiento Metas Plan de Desarrollo e Indicadores</t>
  </si>
  <si>
    <t>Reparto, seguimiento, revisión y registro de respuestas a Entes Externos de Control</t>
  </si>
  <si>
    <t xml:space="preserve">Lily Moreno </t>
  </si>
  <si>
    <t>Fortalecer los mecanismos de
prevención, investigación y sanción de actos de corrupción y la efectividad
del control de la gestión pública.</t>
  </si>
  <si>
    <t>Decreto Distrital No. 061 del 14 de febrero de 2007</t>
  </si>
  <si>
    <t>Por el cual se reglamenta el funcionamiento de las Cajas Menores y los Avances en Efectivo</t>
  </si>
  <si>
    <t>Decreto 648 de 2017</t>
  </si>
  <si>
    <t>Decreto 648 de 2017 Capitulo 3 Artículo  2.2.21.4.9</t>
  </si>
  <si>
    <t xml:space="preserve">Fortalecer el control interno en los organismos y entidades del Estado. </t>
  </si>
  <si>
    <t>Propiciar el desarrollo pleno del potencial de los habitantes de la ciudad, para alcanzar la felicidad de todos en su condición de individuos, miembros de familia y de la sociedad.</t>
  </si>
  <si>
    <t>Fortalecer el Sistema de Control Interno</t>
  </si>
  <si>
    <t>Lineamientos generales sobre austeridad y transparencia del gasto público en las entidades y organismos del orden distrital.</t>
  </si>
  <si>
    <t>Eficiencia administrativa, participación y servicios al ciudadano por medios electrónicos</t>
  </si>
  <si>
    <t>Resolución Nº 357 de 2008</t>
  </si>
  <si>
    <t>Lograr una información contable con las características de confiabilidad, relevancia y comprensibilidad,</t>
  </si>
  <si>
    <t>Ley 87 de 1993</t>
  </si>
  <si>
    <t>Prescribir los métodos, la forma y términos de rendir la cuenta por parte de los responsables del manejo de fondos, bienes o recursos públicos del Distrito Capital y unificar la información que se presenta a la Contraloría de Bogotá, D.C.</t>
  </si>
  <si>
    <t>Edgar Mogollón
José Edwin Lozano</t>
  </si>
  <si>
    <t>José Edwin Lozano 
Edgar Mogollón</t>
  </si>
  <si>
    <t xml:space="preserve">Jefe Oficina de Control Interno    </t>
  </si>
  <si>
    <t>Trabajador Oficial</t>
  </si>
  <si>
    <t>Decreto 648 de 2017, artículo 4
Decreto Nacional No. 1083 de 2015 artículos 2.2.21.1.5 y 2.2.21.1.6</t>
  </si>
  <si>
    <t xml:space="preserve"> </t>
  </si>
  <si>
    <t>Atención Vistas – Entes de Control - Atención requerimientos entes de control conforme a las competencias de la OCI</t>
  </si>
  <si>
    <t>Asesoría, acompañamiento  y Trasmisión Cuenta Anual Contraloría</t>
  </si>
  <si>
    <t>Cumplimiento Normas ISO</t>
  </si>
  <si>
    <t>Ernesto Quintana</t>
  </si>
  <si>
    <t>Seguimiento Cajas Menores (SE EFECTUAN SIN PREVIO AVISO)</t>
  </si>
  <si>
    <t>Dirigir la gestión pública al mejor desempeño institucional</t>
  </si>
  <si>
    <t>Observación</t>
  </si>
  <si>
    <t>Activos de Información y Funcionamiento Software que maneja la Empresa</t>
  </si>
  <si>
    <t>http://186.154.195.124/node/2808</t>
  </si>
  <si>
    <t>http://186.154.195.124/node/2803</t>
  </si>
  <si>
    <t>http://186.154.195.124/node/3488</t>
  </si>
  <si>
    <t>http://186.154.195.124/organigrama</t>
  </si>
  <si>
    <t>http://www.eru.gov.co/es/search/content?keys=politicas+institucionales</t>
  </si>
  <si>
    <t>http://186.154.195.124/search/content?keys=gestion%20documental&amp;page=0</t>
  </si>
  <si>
    <t>http://186.154.195.124/node/1652</t>
  </si>
  <si>
    <t>http://186.154.195.124/node/1625</t>
  </si>
  <si>
    <t>Calle 100, Complejo Hospitalario San Juan de Dios</t>
  </si>
  <si>
    <t>http://www.eru.gov.co/
http://186.154.195.124/</t>
  </si>
  <si>
    <t>http://186.154.195.124/node/2395</t>
  </si>
  <si>
    <t>http://186.154.195.124/node/2354</t>
  </si>
  <si>
    <t>http://186.154.195.124/search/content?keys=MAPA+RIESGOS</t>
  </si>
  <si>
    <t>http://www.eru.gov.co/index.php/es/node/1515</t>
  </si>
  <si>
    <t>http://www.eru.gov.co/index.php/es/node/1754</t>
  </si>
  <si>
    <t>http://www.eru.gov.co/es/node/1759</t>
  </si>
  <si>
    <t>http://186.154.195.124/search/content?keys=Comit%C3%A9+Institucional+de+Coordinaci%C3%B3n+de+Control+Interno</t>
  </si>
  <si>
    <t>Evaluación de Riesgos</t>
  </si>
  <si>
    <t xml:space="preserve">
Janeth Villalba Mahecha
Jefe Oficina de Control Interno
Empresa de Renovación y Desarrollo Urbano de Bogotá D.C.
Enero 15 de 2021
</t>
  </si>
  <si>
    <t>INFORME DE TRANSICIÓN NUEVO JEFE DE CONTROL INTERNO</t>
  </si>
  <si>
    <t xml:space="preserve"> ley 1474 de 2011</t>
  </si>
  <si>
    <t>Jefe Oficina de Control Interno</t>
  </si>
  <si>
    <t>Ley 1474 de 2011 - Estatuto Anticorrupción
Decreto 019 de 2012 - "Por el cual se dictan normas para suprimir o reformar regulaciones, procedimientos y trámites innecesarios existentes en la Administración Pública.”</t>
  </si>
  <si>
    <t>Revisar y actualizar los instrumentos básicos de la actividad de auditoria interna</t>
  </si>
  <si>
    <t>Resolución Orgánica 5544 de 2003
Resolución 5580 de 2004
Resolución 003 de 2005</t>
  </si>
  <si>
    <t>Permite el mejoramiento continuo y cumplimiento de los objetivos institucionales de la entidad pública</t>
  </si>
  <si>
    <t>Fortalecer el control interno en los organismos y entidades del Estado</t>
  </si>
  <si>
    <t>Directiva 017 de 2018</t>
  </si>
  <si>
    <t>Reuniones de Autoevaluación Proceso (quincenal)</t>
  </si>
  <si>
    <t>Revisión y actualización del Proceso Evaluación y Seguimiento: Revisión procedimientos, instructivos, formatos, indicadores y riesgos del proceso, asignación y seguimiento  de tareas y actividades programadas, determinación de directrices e instrucciones al grupo de trabajo</t>
  </si>
  <si>
    <t>Contratista Profesional</t>
  </si>
  <si>
    <t>Actividades Programadas</t>
  </si>
  <si>
    <t>Porcentaje ejecutado</t>
  </si>
  <si>
    <t>Observaciones</t>
  </si>
  <si>
    <t>CUMPLIMIENTO NORMAS ISO</t>
  </si>
  <si>
    <t xml:space="preserve">Incluye actividad "Prestar los servicios de asesoría y acompañamiento requeridos"
NOTA: Estas actividades se realizan mensualmente </t>
  </si>
  <si>
    <t>Incluye Actividades Entes de Control y seguimientos a los Planes de Mejoramiento de la Contraloría y por Procesos.</t>
  </si>
  <si>
    <t>Dirección /Oficina</t>
  </si>
  <si>
    <t xml:space="preserve">Nombre del responsable </t>
  </si>
  <si>
    <t xml:space="preserve">Teléfono del responsable </t>
  </si>
  <si>
    <t xml:space="preserve">Correo electrónico del responsable </t>
  </si>
  <si>
    <t>Código UNSPSC (cada código separado por ;)</t>
  </si>
  <si>
    <t>Nombre Contratista</t>
  </si>
  <si>
    <t>Descripción (objeto)</t>
  </si>
  <si>
    <t>Duración del contrato (número)</t>
  </si>
  <si>
    <t>Duración del contrato (intervalo: días, meses, años)</t>
  </si>
  <si>
    <t xml:space="preserve">Modalidad de selección </t>
  </si>
  <si>
    <t>Fuente de los recursos</t>
  </si>
  <si>
    <t>Unidad de contratación (referencia)</t>
  </si>
  <si>
    <t>Oficina de Control Interno</t>
  </si>
  <si>
    <t>jvillalbam@eru.gov.co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</si>
  <si>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Gobierno Digital, Tecnologías de la Información y las Comunicaciones, Seguridad de la Información y Transparencia y Acceso a la Información Pública en el marco del Modelo Integrado de Planeación y Gestión y de acuerdo con lo definido en el Plan Anual de Auditoría.</t>
  </si>
  <si>
    <t>meses</t>
  </si>
  <si>
    <t>Contratación Directa</t>
  </si>
  <si>
    <t>Recursos Propios</t>
  </si>
  <si>
    <t>Control Interno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</si>
  <si>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a procesos, planes, programas y proyectos de la Empresa, de acuerdo con lo definido en el Plan Anual de Auditoría, el Modelo Integrado de Planeación y Gestión y los requisitos técnicos y legales aplicables en cada caso.</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</si>
  <si>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los procesos misionales y de apoyo, evaluación de la administración del riesgo, Sistema de Control Interno, cumplimiento de requisitos legales y regulaciones internas, metas del plan de desarrollo, implementación y sostenibilidad del Modelo Integrado de Planeación y Gestión MIPG, gestión ambiental, seguridad y salud en el trabajo y entes externos de control, en concordancia con el Plan Anual de Auditoría y los requisitos legales aplicables.</t>
  </si>
  <si>
    <t>Prestación de servicios profesionales especializados para apoyar  el cumplimiento  de las actividades  relacionadas con asesoría, seguimiento y evaluación propias de la Oficina de Control Interno de la Empresa de Renovación y Desarrollo Urbano de Bogotá, que involucren temas relacionados con el Control Fiscal, Control Administrativo, Control de legalidad, Control de Gestión y Control de Resultados, en concordancia con el Plan anual de Auditoría, el Modelo Integrado de Planeación y Gestión y los requisitos legales aplicables.</t>
  </si>
  <si>
    <t>Prestar servicios técnicos de apoyo al cumplimiento de actividades propias de la Oficina de Control Interno de la Empresa de Renovación y Desarrollo Urbano de Bogotá D.C. en el marco del Modelo Integrado de Planeación y Gestión y el Plan Anual de Auditorias.</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</si>
  <si>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de mecanismos de la gestión jurídica, prevención del daño antijurídico y gestión fiscal, asociados a los proyectos de la Empresa, de acuerdo con lo definido en el Plan Anual de Auditoría, el Modelo Integrado de Planeación y Gestión y los requisitos técnicos y legales aplicables en cada caso.</t>
  </si>
  <si>
    <t>AUDITOR ADICIONAL 1</t>
  </si>
  <si>
    <t>Prestar servicios profesionales especializados a la oficina de control interno en el marco del MIPG</t>
  </si>
  <si>
    <t>Rubro</t>
  </si>
  <si>
    <t>Constitución Política de 1991, artículos 119 y 267
Ley 42 de 1993
Decreto Nacional No. 403 de 2020</t>
  </si>
  <si>
    <t>Según plan de auditoria de organismo de control</t>
  </si>
  <si>
    <t>Contraloría de Bogotá</t>
  </si>
  <si>
    <t>Visitas Administrativas de Control Fiscal</t>
  </si>
  <si>
    <t>Subgerencia de Planeación y administración de proyectos</t>
  </si>
  <si>
    <t>2020 - 2023</t>
  </si>
  <si>
    <t>Informe de evaluación del Sistema de Control Interno Contable</t>
  </si>
  <si>
    <t>Resolución de la Contaduría General de la Nación No. 193 de 2016</t>
  </si>
  <si>
    <t>Informe Semestral de Evaluación Independiente del Sistema de Control Interno</t>
  </si>
  <si>
    <t>Decreto 648 de 2017 - Artículo 2.2.21.4.8 y Resolución ERU No. 054 de 2018.</t>
  </si>
  <si>
    <t>Convenciones</t>
  </si>
  <si>
    <t>Seguimiento Plan de Mejoramiento por Procesos</t>
  </si>
  <si>
    <t>Resolución 5580 de 2004
Resolución Orgánica 5544 de 2003
Resolución 003 de 2005</t>
  </si>
  <si>
    <t>Inscripción del soporte lógico (software) en el Registro Nacional del derecho de Autor</t>
  </si>
  <si>
    <t>http://www.eru.gov.co/index.php/es/search/content?keys=activos+de+informacion</t>
  </si>
  <si>
    <t>Decreto Ley 1421 de
1993 y en el artículo 9 del Acuerdo 24 de 1993</t>
  </si>
  <si>
    <t>Contraloria pendiente de publicar en pagina web</t>
  </si>
  <si>
    <t>Decreto Ley 2106 de 2019, Artículo 156
Circular Externa No. 100-006 de 2019 del DAFP.</t>
  </si>
  <si>
    <t>Ley 1150 de 2007
Ley 87 de 1993
Decreto Único Reglamentario No. 1082 de 2015</t>
  </si>
  <si>
    <t>Ley 1474 de 2011 Art 76 - 
Decreto Distrital No. 371 de 2010</t>
  </si>
  <si>
    <t>Decreto Distrital No. 807 de 2019</t>
  </si>
  <si>
    <t xml:space="preserve">Decreto Único Reglamentario No. 1082 de 2015 </t>
  </si>
  <si>
    <t>Ley 87 de 1993
Ley 489 de 1998</t>
  </si>
  <si>
    <t xml:space="preserve">Decreto Nacional No. 492 de 2019 </t>
  </si>
  <si>
    <t>Decreto 1499 de 2017</t>
  </si>
  <si>
    <t>Decreto No. 1008 de 2018</t>
  </si>
  <si>
    <t>Decreto 648 de 2017 artículo 4, artículo 16 , artículo 17
Decreto Distrital No. 807 de 2019 numeral 4 artículo 38, parágrafo 1
numeral 5 artículo 37
numeral 6 artículo 20</t>
  </si>
  <si>
    <t>Ernesto Quintana - José R. Santis</t>
  </si>
  <si>
    <t>Decreto Distrital No. 839 de 2018</t>
  </si>
  <si>
    <t>Edgar Mogollón
José Santis</t>
  </si>
  <si>
    <t>Acuerdo del Concejo de Bogotá No. 761 de 2020 "Un nuevo contrato social y ambiental para la Bogotá del Siglo XXI"
Decreto Distrital No. 807 de 2019</t>
  </si>
  <si>
    <t>Resolución 080 de 2018 - "Por la cual se adopta el Código de Integridad del Servicio Público en la Empresa de Renovación y Desarrollo Urbano de Bogotá D.C. y se dictan otras disposiciones"</t>
  </si>
  <si>
    <t>Seguimiento Reporte - Ley e índice de Transparencia y Acceso a la Información - ITA.</t>
  </si>
  <si>
    <t>Diligenciamiento Encuestas Gobierno Corporativo - Veeduría Distrital.</t>
  </si>
  <si>
    <t>Seguimiento a la actualización de bases de datos en RNBD</t>
  </si>
  <si>
    <t>Actualización de la información contenida en el Registro Nacional de Bases de Datos</t>
  </si>
  <si>
    <t>Presentar el estado del Sistema de Control Interno de la Empresa de Renovación y Desarrollo Urbano de Bogotá, en cumplimiento de lo dispuesto en la Ley 1774 de 2011 y los
lineamientos impartidos por el Departamento Administrativo de la Función Pública en el Manual Operativo del Modelo Integrado de Planeación y Gestión – MIPG</t>
  </si>
  <si>
    <t>Evaluación y Seguimiento Implementación MIPG  7 dimensiones y 18 políticas - e informes FURAG.</t>
  </si>
  <si>
    <t>Equipo Auditor OCI</t>
  </si>
  <si>
    <t>Equipo Auditor OCI - Responsables de procesos - atienden auditoria externa</t>
  </si>
  <si>
    <t>Actividad En proceso</t>
  </si>
  <si>
    <t>N°</t>
  </si>
  <si>
    <t>Seguimiento y Control de Acciones de Plan Anticorrupción y Atención al Ciudadano</t>
  </si>
  <si>
    <t>Ejecutado</t>
  </si>
  <si>
    <t>Contratista tecnico</t>
  </si>
  <si>
    <r>
      <t xml:space="preserve">CONOCIMIENTO DE LA ENTIDAD
</t>
    </r>
    <r>
      <rPr>
        <sz val="11"/>
        <color rgb="FF0000FF"/>
        <rFont val="Century Gothic"/>
        <family val="2"/>
      </rPr>
      <t>EMPRESA DE RENOVACION Y DESARROLLO URBANO DE BOGOTA D.C.</t>
    </r>
    <r>
      <rPr>
        <b/>
        <sz val="11"/>
        <color theme="1"/>
        <rFont val="Century Gothic"/>
        <family val="2"/>
      </rPr>
      <t xml:space="preserve">
</t>
    </r>
  </si>
  <si>
    <t>073 - 2021
Edgar Efren Mogollon Montañez</t>
  </si>
  <si>
    <t>074 - 2021
Ernesto Arturo Quintana Pinilla</t>
  </si>
  <si>
    <t>125 - 2021 
Miguel Angel Pardo Mateus</t>
  </si>
  <si>
    <t>124 - 2021 
Lily Johanna Moreno Gonzalez</t>
  </si>
  <si>
    <t xml:space="preserve">098 - 2021
Omar Urrea Romero </t>
  </si>
  <si>
    <t>123 - 2021 
Flora Isabel Ramírez González</t>
  </si>
  <si>
    <t>075 - 2021
José Ramon Santis Jiménez</t>
  </si>
  <si>
    <t>076-2021
Marcos Andrés Rodríguez Naizaque</t>
  </si>
  <si>
    <t>Prestación de servicios profesionales especializados para apoyar el cumplimiento de las actividades relacionadas con asesoría, seguimiento y evaluación propias de la oficina de control interno de la Empresa de Renovación y Desarrollo Urbano de Bogotá, en lo relacionado con el Sistema Integrado de Gestión, seguimiento y evaluación del Sistema de Gestión de Calidad, Sistema de Control Interno así como el fomento de la cultura de autocontrol, en concordancia con el Plan Anual de Auditoría, el Modelo Integrado de Planeación y Gestión y los requisitos legales aplicables.</t>
  </si>
  <si>
    <t>Funcionamiento</t>
  </si>
  <si>
    <t>Inversión</t>
  </si>
  <si>
    <t xml:space="preserve">Adición
(Teniendo en cuenta Ley de Grantías)
</t>
  </si>
  <si>
    <t>V/r Mernsual</t>
  </si>
  <si>
    <t>V/r Total adición</t>
  </si>
  <si>
    <t>Fecha estimada de inicio de proceso de selección (mes)
ADICION CONTRATO VIGENTE</t>
  </si>
  <si>
    <t>Fecha estimada de presentación de ofertas (mes)
NUEVO CONTRATO</t>
  </si>
  <si>
    <t>Contrato nuevo</t>
  </si>
  <si>
    <t>Rol</t>
  </si>
  <si>
    <t>Auditoria - Informes de Ley en temas relacionados con el control fiscal, control administrativo, control de gestión, control de resultados y atención a entes de control en los temas relacionados y/o afines.</t>
  </si>
  <si>
    <t>Auditoria - Informes de Ley en factores referentes a gobierno digital, tecnologías de la información y las comunicaciones, seguridad de la información y transparencia, acceso a la información pública, atención entes de control en los temas relacionados y/o afines y seguimiento del plan de mejoramiento de la contraloría.</t>
  </si>
  <si>
    <t>Auditoria - Informes de Ley en factores referentes a los procesos misionales y de apoyo, evaluación de la administración del riesgo, sistema de control interno, metas del plan de desarrollo, implementación y sostenibilidad del modelo integrado de planeación y gestión MIPG, Gestión Ambiental, Seguridad y Salud en el trabajo y atención a entes de control en los temas relacionados y/o afines.</t>
  </si>
  <si>
    <t>Auditoria - informes de ley en lo relacionado con el sistema integrado de gestión, seguimiento y evaluación del sistema de gestión de calidad, sistema de control interno, así como el fomento de la cultura de autocontrol, apoyo al Comité Institucional de Coordinación de Control Interno, seguimiento planes de mejoramiento por procesos, seguimiento a mapas de riesgos y atención a entes de control en los temas relacionados y/o afines.</t>
  </si>
  <si>
    <t>Auditoria - Informes de Ley en factores referentes a evaluación y seguimiento a procesos, planes, programas y proyectos de la empresa, apoyo al Comité Distrital de Auditoría e Implementación Normas Internacionales de Auditoría y atención a entes de control en los temas relacionados y/o afines.</t>
  </si>
  <si>
    <t>Auditoria - Informes de Ley en factores referentes a Evaluación y Seguimiento de mecanismos de la Gestión Jurídica, Prevención del Daño Antijurídico y Gestión Fiscal, asociados a los proyectos de la empresa, apoyo procesos contractuales a cargo del área y atención a entes de control en los temas relacionados y/o afines.</t>
  </si>
  <si>
    <t>Apoyo transversal al cumplimiento de los roles de Control Interno y al Plan Anual de Auditoria incluido el Sistema Integrado de Gestión, organización y seguimiento cuadros de control - tareas - requerimientos oficina de control interno.</t>
  </si>
  <si>
    <t xml:space="preserve">Apoyo transversal al cumplimiento de los roles de Control Interno y al Plan Anual de Auditoria incluido el Sistema Integrado de Gestión, organización y seguimiento cuadros de control - tareas - requerimientos oficina de control interno y apoyo logístico </t>
  </si>
  <si>
    <t>enero 2022</t>
  </si>
  <si>
    <t>Julio 2022</t>
  </si>
  <si>
    <t>Seguimiento a la implementación  del Código de Integridad de la Empresa vigencia 2021</t>
  </si>
  <si>
    <t>Informes gestión OCI 2021-2022 -  Informe transición jefatura control interno 2022</t>
  </si>
  <si>
    <t>Normas concordantes con el objeto y alcance la Auditoría.</t>
  </si>
  <si>
    <t>Normas concordantes con el objeto y alcance la Auditoría</t>
  </si>
  <si>
    <t>Realizar el Estudio y análisis del avance del proyecto conforme al cronograma estipulado</t>
  </si>
  <si>
    <t>Seguimiento a Peticiones, Quejas, Reclamos, Sugerencias y Felicitaciones - Derechos de Petición</t>
  </si>
  <si>
    <t>Seguimiento a Directrices para Prevenir Conductas Irregulares sobre Incumplimiento de Manuales de Funciones y de Procedimientos y Pérdida de Elementos y Documentos Público. Directiva 008 de 2021</t>
  </si>
  <si>
    <t>Directiva Distrital No. 008 de 2021</t>
  </si>
  <si>
    <t>NTC ISO 9001:2015</t>
  </si>
  <si>
    <t>Evaluar  la conformidad de los procesos a auditar del Sistema de Gestión de la Calidad de la Empresa con los requisitos del estándar NTC ISO 9001:2015</t>
  </si>
  <si>
    <t>Modelo Integrado de Planeación y Gestión, actualizado: MIPG – Decreto 1499</t>
  </si>
  <si>
    <t>Evaluar la  efectiva gestión de riesgos: Las funciones que son propietarias de los riesgos y los gestionan. Las funciones que supervisan los riesgos. Las funciones que proporcionan aseguramiento independiente.</t>
  </si>
  <si>
    <t>Revisión Código de Ética del Auditor Interno, Estatuto Auditoría Interna.</t>
  </si>
  <si>
    <t>Programa Aseguramiento Calidad de la Auditoria</t>
  </si>
  <si>
    <t>Determinar cumplimiento de la Norma NIA 1300.</t>
  </si>
  <si>
    <t>Actividad fuera de términos o no comunicada</t>
  </si>
  <si>
    <t>PLAN ANUAL DE AUDITORIA 2022</t>
  </si>
  <si>
    <t>http://www.eru.gov.co/es/transparencia/normativa/resolucion-054-de-2021</t>
  </si>
  <si>
    <t>http://186.154.195.124/node/4414</t>
  </si>
  <si>
    <t>http://www.eru.gov.co/es/node/3121</t>
  </si>
  <si>
    <t>http://www.eru.gov.co/es/node/3150</t>
  </si>
  <si>
    <t>http://186.154.195.124/index.php/mipg-sig/mapa-procesos</t>
  </si>
  <si>
    <t>http://www.eru.gov.co/es/search/content?keys=proyectos+de+inversi%C3%B3n</t>
  </si>
  <si>
    <t>http://www.eru.gov.co/es/search/content?keys=informe+resumen+gerencial</t>
  </si>
  <si>
    <t>http://186.154.195.124/marco-estrategico</t>
  </si>
  <si>
    <t>Fortalecer los mecanismos de prevención, investigación y sanción de actos de corrupción y la efectividad del control de la gestión pública.</t>
  </si>
  <si>
    <t>Permite a las entidades estatales cumplir con las obligaciones de publicidad de los diferentes actos expedidos en los procesos contractuales y permite a los interesados en participar en los procesos de contratación, proponentes, veedurías y a la ciudadanía.</t>
  </si>
  <si>
    <t>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marco conceptual de! marco normativo que le sea aplicable a la entidad, de acuerdo con lo establecido en el Régimen de Contabilidad Pública.</t>
  </si>
  <si>
    <t>Orientar, liderar la formulación y seguimiento de las políticas para el fortalecimiento de la función administrativa de los organismos y entidades de Bogotá, Distrito Capital, mediante el diseño e implementación de instrumentos de coordinación y gestión, la promoción del desarrollo institucional, el mejoramiento del servicio a la ciudadana y ciudadano, la protección de recursos documentales de interés público y la coordinación de las políticas del sistema integral de información y desarrollo tecnológico.</t>
  </si>
  <si>
    <t>Establecen directrices y lineamientos en materia de conciliación y Comités de Conciliación en el Distrito Capital.</t>
  </si>
  <si>
    <t>Directrices para prevenir conductas irregulares relacionadas con incumplimiento de los manuales de funciones y de procedimientos y la pérdida de elementos y documentos públicos.</t>
  </si>
  <si>
    <t>Seguimiento Cuadro resumen auditorías externas e internas  realizadas</t>
  </si>
  <si>
    <t>Orientar la implementación del SIGD y la operación del MIPG, en su respectiva entidad u organismo.</t>
  </si>
  <si>
    <t>Adopta la metodología e instrumentos para la evaluación de la Gestión del Rendimiento de los Gerentes Públicos.</t>
  </si>
  <si>
    <t>Lily Moreno, Edgar Mogollón</t>
  </si>
  <si>
    <t>Ley 23 de 1982
Decreto 1360 de 1989
Directiva Presidencial 02 de  2002
Circular 1000-06 de 22 de junio de 2004
Circular 07 de diciembre 28 de 2005
Circular 04 de 22 de diciembre de 2006</t>
  </si>
  <si>
    <t>Líder: Daniel Cruz
Equipo auditor OCI</t>
  </si>
  <si>
    <t>Lily Moreno
Daniel Cruz</t>
  </si>
  <si>
    <t>Verificar el cumplimiento del Plan de Acción establecido para la implementación del Código de Integridad de la Empresa, durante la vigencia 2021.</t>
  </si>
  <si>
    <t>Verificar el cumplimiento del Plan de Acción establecido para la implementación del Código de Integridad de la Empresa, del 01/01/2022 al 30/09/2022.</t>
  </si>
  <si>
    <t>Ley 1712 de 2014 - Res 1519 de 2020
Directiva 006 de 14 de mayo de 2019
Directiva 026 de 25 de agosto de 2020
Directiva 029 de 13 de octubre de 2020</t>
  </si>
  <si>
    <t>Medir el nivel de cumplimiento de la Ley por parte de cada sujeto obligado y generar el indicador denominado índice de Transparencia y Acceso a la Información Pública ITA.</t>
  </si>
  <si>
    <t>Fomentar en toda la institución la formación de una cultura de propio control o autocontrol que contribuya al mejoramiento continúo en el cumplimiento de la misión institucional</t>
  </si>
  <si>
    <t>Ernesto Quintana
Daniel Cruz</t>
  </si>
  <si>
    <t>NIA - Autodiagnóstico aseguramiento de la Calidad del ejercicio de las auditorias internas</t>
  </si>
  <si>
    <t>Verificar el mejoramiento continuo y cumplimiento de los objetivos institucionales de la entidad pública.</t>
  </si>
  <si>
    <t>Seguimiento Directiva 015 de 2022</t>
  </si>
  <si>
    <t>Directiva 015 de 2022</t>
  </si>
  <si>
    <t>Obligaciones relacionadas con el fortalecimiento de la meritocracia, del empleo y la función pública en el estado colombiano.</t>
  </si>
  <si>
    <t>ACTIVIDADES DE CONSULTORÍA-ASESORIA Y ACOMPAÑAMIENTO</t>
  </si>
  <si>
    <t>Auditoría de Control Fiscal en la Modalidad de Regularidad PAD 2023 Vigencia 2022</t>
  </si>
  <si>
    <t>Auditoría de Control Fiscal en la Modalidad de Desempeño</t>
  </si>
  <si>
    <t>Resolución 002 de 2022</t>
  </si>
  <si>
    <t>Actividad o casilla a eliminar</t>
  </si>
  <si>
    <t>Actividad no ejecutada o reprogramada por contratación de personal</t>
  </si>
  <si>
    <t>PLAN ANUAL DE AUDITORIA : Empresa de Renovación y Desarrollo Urbano de Bogotá D.C.
Vigencia:2023</t>
  </si>
  <si>
    <t>El Plan Anual de Auditoria contempla los trabajos de auditoria interna, evaluaciones y seguimientos a realizar durante la vigencia 2023, a través de las cuales se evaluará la gestión institucional, el cumplimiento de objetivos,  la administración del riesgo, los planes de mejoramiento, la aplicación de procedimientos y normas legales vigentes, entre otros criterios.</t>
  </si>
  <si>
    <t>CRONOGRAMA VIGENCIA AÑO 2023</t>
  </si>
  <si>
    <t>VIGENCIA 2023</t>
  </si>
  <si>
    <t>Decreto 529</t>
  </si>
  <si>
    <t>Efectuar revisión y análisis del avance de la formulación del proyecto citados en el alcance de la auditoria.</t>
  </si>
  <si>
    <t>Líder: Daniel Cruz
Equipo Auditor OCI</t>
  </si>
  <si>
    <t>Centro de Formación para el trabajo (SENA)  - Avance Obra - Cumplimiento cronogramas y ejecución presupuestal</t>
  </si>
  <si>
    <t>Bronx Distrito Creativo  - Avance Obra - Cumplimiento cronogramas y ejecución presupuestal</t>
  </si>
  <si>
    <t xml:space="preserve">Sistema de Información Misional </t>
  </si>
  <si>
    <t>Realizar el Estudio y análisis del avance del contrato vigente y sus productos</t>
  </si>
  <si>
    <t>Realizar la revisión, estudio, análisis, de la ejecución de la contratación conforme el alcance determinado vigencia 2022</t>
  </si>
  <si>
    <t xml:space="preserve">Auditoria Gestión Suelo </t>
  </si>
  <si>
    <t>Auditoría de Control Fiscal en la Modalidad de Cumplimiento -Vivienda</t>
  </si>
  <si>
    <t xml:space="preserve">Informe Integral de Gestión OCI </t>
  </si>
  <si>
    <r>
      <rPr>
        <b/>
        <sz val="11"/>
        <color theme="1"/>
        <rFont val="Calibri"/>
        <family val="2"/>
        <scheme val="minor"/>
      </rPr>
      <t>Sistemas de Información Misionales de la Empresa (Contratación) - Seguimiento.</t>
    </r>
    <r>
      <rPr>
        <sz val="11"/>
        <color theme="1"/>
        <rFont val="Calibri"/>
        <family val="2"/>
        <scheme val="minor"/>
      </rPr>
      <t xml:space="preserve"> Se presentará un informe de seguimiento al estado de implementación del sistema de información misional de la Empresa, una vez evaluadas las actas del Comité Estratégico, las cuales serán remitidas por el proveedor UT VERANO ITERIA en la segunda semana de enero de 2023.
</t>
    </r>
    <r>
      <rPr>
        <b/>
        <sz val="11"/>
        <color theme="1"/>
        <rFont val="Calibri"/>
        <family val="2"/>
        <scheme val="minor"/>
      </rPr>
      <t>Servicios Administrativos y de apoyo - PIGA - Talento Humano -  Servicios Logísticos.</t>
    </r>
    <r>
      <rPr>
        <sz val="11"/>
        <color theme="1"/>
        <rFont val="Calibri"/>
        <family val="2"/>
        <scheme val="minor"/>
      </rPr>
      <t xml:space="preserve"> Se realizó la auditoría y se envió el informe preliminar a las Subgerencias de Gestión Corporativa y de Desarrollo de Proyectos, para la socialización y retroalimentación, informe en un 90% de avance.</t>
    </r>
  </si>
  <si>
    <t>En total se realizaron 61 actividades en vigencia 2022</t>
  </si>
  <si>
    <t xml:space="preserve">Se realizaron Auditorias de Calidad a 12 procesos de la Empresa </t>
  </si>
  <si>
    <t>LIDERAZGO ESTRATEGICOB12:D13</t>
  </si>
  <si>
    <r>
      <t>Los siguientes informes se finalizaran en el primer trimestre de 2023:
1.</t>
    </r>
    <r>
      <rPr>
        <b/>
        <sz val="11"/>
        <color theme="1"/>
        <rFont val="Calibri"/>
        <family val="2"/>
        <scheme val="minor"/>
      </rPr>
      <t xml:space="preserve">Seguimiento Cuadro resumen auditorías externas e internas  realizadas. </t>
    </r>
    <r>
      <rPr>
        <sz val="11"/>
        <color theme="1"/>
        <rFont val="Calibri"/>
        <family val="2"/>
        <scheme val="minor"/>
      </rPr>
      <t xml:space="preserve">Se unifico en un solo informe que sera entregado en los meses de enero y febrero de 2023.
2. </t>
    </r>
    <r>
      <rPr>
        <b/>
        <sz val="11"/>
        <color theme="1"/>
        <rFont val="Calibri"/>
        <family val="2"/>
        <scheme val="minor"/>
      </rPr>
      <t>Seguimiento a la Austeridad en el Gasto.</t>
    </r>
    <r>
      <rPr>
        <sz val="11"/>
        <color theme="1"/>
        <rFont val="Calibri"/>
        <family val="2"/>
        <scheme val="minor"/>
      </rPr>
      <t xml:space="preserve"> Informe tercer trimestre se encuentra en revisión final para envio en el mes de enero 2023.
3. </t>
    </r>
    <r>
      <rPr>
        <b/>
        <sz val="11"/>
        <color theme="1"/>
        <rFont val="Calibri"/>
        <family val="2"/>
        <scheme val="minor"/>
      </rPr>
      <t xml:space="preserve">Evaluación y Seguimiento Implementación MIPG  7 dimensiones y 18 políticas - e informes FURAG. </t>
    </r>
    <r>
      <rPr>
        <sz val="11"/>
        <color theme="1"/>
        <rFont val="Calibri"/>
        <family val="2"/>
        <scheme val="minor"/>
      </rPr>
      <t xml:space="preserve">Se esta trabajando un informe para entrega en el primer trimestre de 2023.
4. </t>
    </r>
    <r>
      <rPr>
        <b/>
        <sz val="11"/>
        <color theme="1"/>
        <rFont val="Calibri"/>
        <family val="2"/>
        <scheme val="minor"/>
      </rPr>
      <t xml:space="preserve">Revisión Código de Ética del Auditor Interno, Estatuto Auditoría Interna. </t>
    </r>
    <r>
      <rPr>
        <sz val="11"/>
        <color theme="1"/>
        <rFont val="Calibri"/>
        <family val="2"/>
        <scheme val="minor"/>
      </rPr>
      <t xml:space="preserve">Los instrumentos con su actualización se encuentran en revisión final de la Jefe de la OCI, conforme los comentarios efectuados por la Subgerencia de Planeación. Primer trimestre 2023.
5. </t>
    </r>
    <r>
      <rPr>
        <b/>
        <sz val="11"/>
        <color theme="1"/>
        <rFont val="Calibri"/>
        <family val="2"/>
        <scheme val="minor"/>
      </rPr>
      <t xml:space="preserve">Activos de Información y Funcionamiento Software que maneja la Empresa. </t>
    </r>
    <r>
      <rPr>
        <sz val="11"/>
        <color theme="1"/>
        <rFont val="Calibri"/>
        <family val="2"/>
        <scheme val="minor"/>
      </rPr>
      <t xml:space="preserve">Remisión de los activos de información de la Oficina, mediante correo con asunto "Re: Activos de Información 2022" de 17 de noviembre de 2022. Se realizó inspección física a una muestra de 39 computadores de la Empresa para el levantamiento del software instalado. Una vez se procese la información y se determine frente a los contratos su estado de licenciamiento, se emitirá el informe respectivo. Fue necesario efectuar estudio minicioso de los contratos. Entrega primer bimestre 2023.
6. </t>
    </r>
    <r>
      <rPr>
        <b/>
        <sz val="11"/>
        <color theme="1"/>
        <rFont val="Calibri"/>
        <family val="2"/>
        <scheme val="minor"/>
      </rPr>
      <t>Seguimiento líneas de Defensa.</t>
    </r>
    <r>
      <rPr>
        <sz val="11"/>
        <color theme="1"/>
        <rFont val="Calibri"/>
        <family val="2"/>
        <scheme val="minor"/>
      </rPr>
      <t xml:space="preserve"> Informe remittido para revisión del jefe de la OCI el 31/12/2022 Avance de ejecución 80%, se radicara en el primer bimestre de 2023.
7. </t>
    </r>
    <r>
      <rPr>
        <b/>
        <sz val="11"/>
        <color theme="1"/>
        <rFont val="Calibri"/>
        <family val="2"/>
        <scheme val="minor"/>
      </rPr>
      <t>Programa Aseguramiento Calidad de la Auditoria.</t>
    </r>
    <r>
      <rPr>
        <sz val="11"/>
        <color theme="1"/>
        <rFont val="Calibri"/>
        <family val="2"/>
        <scheme val="minor"/>
      </rPr>
      <t xml:space="preserve"> La Jefe de la OCI se encuentra revisando el cuestionario, para proceder a dar lineamientos para la elaboración del programa de auditoría. Se reprogramo la finalización de la acción de mejora, teniendo en cuenta que se emitira un direccionamiento general por parte de la Alcaldía-Dirección de Desarrollo Institucional al respecto. Primer trimestre de 2023.</t>
    </r>
  </si>
  <si>
    <t>Auditoria Contratos arrendamiento - Predios San Victorino</t>
  </si>
  <si>
    <t>Voto Nacional (Incluye Edificio Formación para el Trabajo)</t>
  </si>
  <si>
    <t>Auditoria Proceso Terceros Concurrentes</t>
  </si>
  <si>
    <t>Sistemas de Información Misionales de la Empresa (Contratación)</t>
  </si>
  <si>
    <t>Servicios Administrativos y de apoyo - PIGA - Talento Humano -  Servicios Logísticos</t>
  </si>
  <si>
    <t>Costeo de los proyectos y rentabilidad de la Empresa</t>
  </si>
  <si>
    <t>Seguimiento Resolución 1519 de 2021  y acceso a la Información</t>
  </si>
  <si>
    <t>Seguimiento Auditoria de Fiducias (Plan de Mejoramiento y Contratación por vencimiento de términos Fiducias actuales)</t>
  </si>
  <si>
    <t>Seguimiento Comités Institucionales (Actividad pendiente de finalizar de la Vigencia 2021)</t>
  </si>
  <si>
    <t>Seguimiento Plan de Mejoramiento Archivística</t>
  </si>
  <si>
    <t>Evaluación del Estatuto de Auditoria, Código de Ética del Auditor y Plan de Mejoramiento de las Auditorias Cruzadas</t>
  </si>
  <si>
    <t>Factores de Gestión Prioritarias para la Empresa (análisis OCI) y Fortalecimiento Institucional</t>
  </si>
  <si>
    <t>Auditoria de Fiducias. Alcance por muestra confiable.</t>
  </si>
  <si>
    <t>Auditoria Plan estratégico y gestión Tecnología y Comunicaciones</t>
  </si>
  <si>
    <t>Proyecto: Formulación, Gestión y Estructuración de Proyectos de Desarrollo, Revitalización o Renovación Urbana. Incluido aspecto contractual</t>
  </si>
  <si>
    <t>Auditoria Gestión Social asociada a la Adquisición Predial y grupos de interés</t>
  </si>
  <si>
    <t>Auditoria Proceso Evaluación y seguimiento - Normas Internacionales de Auditoria - Oficina PAD
Auditorias cruzadas OCI - Alcaldia.</t>
  </si>
  <si>
    <t>Varias horas</t>
  </si>
  <si>
    <t>Hechos de Corrupción</t>
  </si>
  <si>
    <t>Falta de oportunidad para gestión de los procesos</t>
  </si>
  <si>
    <t>2 días</t>
  </si>
  <si>
    <t>Incumplimiento de servicios</t>
  </si>
  <si>
    <t>Falta de oportunidad para atención usuarios</t>
  </si>
  <si>
    <t>Retrasos en los servicios</t>
  </si>
  <si>
    <t>Quejas por incumplimientos o retrasos</t>
  </si>
  <si>
    <t>Critica con recuperación parcial</t>
  </si>
  <si>
    <t>Equipo OCI: Totalidad Equipo Auditor</t>
  </si>
  <si>
    <t>Actividad programada</t>
  </si>
  <si>
    <t>Actividad o tiempo Adicional requerido</t>
  </si>
  <si>
    <t>Seguimiento Ejecución y avance de proyectos</t>
  </si>
  <si>
    <t xml:space="preserve"> Vigencia 2023:  Jefe Oficina OCI, Un (1) Gestor Senior 3 de planta, Seis (6) contratistas Profesionales Especializados y Dos (2)  Contratistas Técnico.
                        - Tecnológicos: Equipo de cómputo, sistemas de información, sistemas de redes y correo electrónico de la empresa.</t>
  </si>
  <si>
    <t>Janeth Villalba Mahecha, Lily Moreno, Karina Córdoba.</t>
  </si>
  <si>
    <t>Alcaldía los Mártires - Avance Obra - Cumplimiento cronogramas y ejecución presupuestal</t>
  </si>
  <si>
    <t>Direccionamiento Estratégico y Gobierno Corporativo</t>
  </si>
  <si>
    <t>Efectuar el estudio, revisión, análisis y ejecución de las diferentes estrategias, planes y programas, ejecución y procesos de retroalimentación que se establezcan en el marco del direccionamiento estratégico y gobierno corporativo</t>
  </si>
  <si>
    <t>Seguimiento Cumplimiento Norma Archivística ERU</t>
  </si>
  <si>
    <t>Efectuar seguimiento al cumplimiento de las políticas y normas archivísticas</t>
  </si>
  <si>
    <t>Contratación transversal (Incluye San Victorino y Optimización Nuevo Manual de Contratación)</t>
  </si>
  <si>
    <t>Líder: Karina Córdoba
Equipo OCI: Totalidad Equipo Auditor</t>
  </si>
  <si>
    <t>Asesoría y seguimiento a la Implementación del Sistema de Gestión de Calidad bajo concepto del estándar NTC ISO 9001:2015</t>
  </si>
  <si>
    <t>Prestar la asesoría, asistencia técnica y seguimiento al estado de implementación del Sistema de Gestión de la Calidad bajo el concepto del estándar NTC ISO 9001:2015 en todo el ciclo PHVA.</t>
  </si>
  <si>
    <t>Participar en la verificación de la Conformidad del  Sistema de Gestión de la Calidad bajo el concepto del estándar NTC ISO 9001:2015 de la Empresa (Ciclo  Auditorias Internas de Calidad 2022).</t>
  </si>
  <si>
    <t>Auditores Internos, Equipo auditor OCI, Subgerencia Planeación y Administración de Proyectos</t>
  </si>
  <si>
    <t>Seguimiento Estrategia Anti trámite</t>
  </si>
  <si>
    <t xml:space="preserve">Daniel Cruz
Karina Córdoba  </t>
  </si>
  <si>
    <t>Edgar Mogollón 
Karina Córdoba</t>
  </si>
  <si>
    <t>José Santis
Karina Córdoba</t>
  </si>
  <si>
    <t>Janeth Villalba Mahecha, Karina Córdoba.</t>
  </si>
  <si>
    <t>Karina Córdoba y Lily Moreno</t>
  </si>
  <si>
    <t>Karina Córdoba 
Daniel Cruz</t>
  </si>
  <si>
    <t>Edgar Mogollón</t>
  </si>
  <si>
    <t>José Santis - Orlando Torres</t>
  </si>
  <si>
    <t>Daniel Cruz, Orlando Torres.</t>
  </si>
  <si>
    <t>Lily Moreno,  José Edwin Lozano 
Orlando Torres y Karina Córdoba</t>
  </si>
  <si>
    <t>Janeth Villalba Mahecha - Orlando Torres</t>
  </si>
  <si>
    <t>Janeth Villalba Mahecha - José Santis, Técnico 1.</t>
  </si>
  <si>
    <t>Líder: Ernesto Quintana
Equipo OCI: Técnico 1, Daniel Cruz, José Ramón</t>
  </si>
  <si>
    <t>Líder: Karina Córdoba
Equipo OCI: Orlando Torres, José Ramón, Técnico 1.</t>
  </si>
  <si>
    <t>Líder: Lily Moreno
Equipo OCI:  Edgar Mogollón, José Ramón y Técnico 1.</t>
  </si>
  <si>
    <t>Líder: José Edwin Lozano
Equipo OCI: Orlando Torres, José Ramón, Técnico 1.</t>
  </si>
  <si>
    <t>Líder: Edgar Mogollón
Equipo OCI: José Santis, Técnico 1</t>
  </si>
  <si>
    <t>Líder: Daniel Cruz
Equipo OCI: Karina Córdoba, José Edwin Lozano, Edgar Mogollon, Lily Moreno, José Santis, Técnico 1</t>
  </si>
  <si>
    <t>Líder: Ernesto Quintana
Equipo OCI: José Ramón Santis, Técnico 1</t>
  </si>
  <si>
    <t>José Ramón Santis Jiménez
Edgar Efrén Mogollón Montañez
Marcos Técnico 1 Naizaque
Subgerencia Planeación y Administración de Proyectos</t>
  </si>
  <si>
    <t>Edgar Mogollón - Técnico 1</t>
  </si>
  <si>
    <t>José Santis
Karina Córdoba
Técnico 1</t>
  </si>
  <si>
    <t>Ernesto Quintana, Técnico 1</t>
  </si>
  <si>
    <t>Informe presentado bajo radicado I202300513, de fecha 27 de febrero de 2023.</t>
  </si>
  <si>
    <t>Informe presentado bajo radicado I2023000468 de fecha 23 de febrero de 2023.</t>
  </si>
  <si>
    <t>Informe presentado bajo radicado S2023000944 de fecha 27 de febrero de 2023.</t>
  </si>
  <si>
    <t>Certificados de fecha 15 de febrero de 2023 y 27 de febrero de 2023.</t>
  </si>
  <si>
    <r>
      <rPr>
        <b/>
        <u/>
        <sz val="20"/>
        <rFont val="Calibri"/>
        <family val="2"/>
        <scheme val="minor"/>
      </rPr>
      <t xml:space="preserve">ACOMPAÑAMIENTO – MANTENIMIENTO CERTIFICACION ISO 9001:2015 – LIDERES OPERATIVOS.
</t>
    </r>
    <r>
      <rPr>
        <sz val="20"/>
        <rFont val="Calibri"/>
        <family val="2"/>
        <scheme val="minor"/>
      </rPr>
      <t xml:space="preserve">
Asistencia a las siguientes reuniones de Líderes Operativos, y consolidación de los documentos expuestos en las mismas, así:
• PRESENCIAL: Reunión Líderes Operativos - miércoles, 18 de enero⋅9:00 – 11:00am.
• PRESENCIAL: Reunión Líderes Operativos - jueves, 16 de febrero⋅9:00 – 11:00am.
• VIRTUAL: Reunión Líderes Operativos - viernes, 3 de marzo⋅2:00 – 3:00pm.
• PRESENCIAL: Reunión Líderes Operativos - martes, 21 de marzo⋅10:00am – 12:00pm.
</t>
    </r>
  </si>
  <si>
    <r>
      <t>Se elaboró el</t>
    </r>
    <r>
      <rPr>
        <b/>
        <sz val="20"/>
        <rFont val="Calibri"/>
        <family val="2"/>
        <scheme val="minor"/>
      </rPr>
      <t xml:space="preserve"> INFORME SEGUIMIENTO CÓDIGO DE INTEGRIDAD DIC 2022</t>
    </r>
    <r>
      <rPr>
        <sz val="20"/>
        <rFont val="Calibri"/>
        <family val="2"/>
        <scheme val="minor"/>
      </rPr>
      <t>- Radicado</t>
    </r>
    <r>
      <rPr>
        <b/>
        <sz val="20"/>
        <rFont val="Calibri"/>
        <family val="2"/>
        <scheme val="minor"/>
      </rPr>
      <t xml:space="preserve"> I2023000683</t>
    </r>
    <r>
      <rPr>
        <sz val="20"/>
        <rFont val="Calibri"/>
        <family val="2"/>
        <scheme val="minor"/>
      </rPr>
      <t xml:space="preserve"> de marzo 10 de 2023.</t>
    </r>
  </si>
  <si>
    <r>
      <rPr>
        <b/>
        <u/>
        <sz val="20"/>
        <rFont val="Calibri"/>
        <family val="2"/>
        <scheme val="minor"/>
      </rPr>
      <t>SOCIALIZACIÓN DOCUMENTOS – PROCESO DE EVALUACIÓN Y SEGUIMIENTO.</t>
    </r>
    <r>
      <rPr>
        <sz val="20"/>
        <rFont val="Calibri"/>
        <family val="2"/>
        <scheme val="minor"/>
      </rPr>
      <t xml:space="preserve">
• Compilación de los Documentos SIG del proceso de Evaluación y Seguimiento, al grupo de trabajo OCI, para su apropiación, comentarios y observaciones para su actualización, y remisión de los mismos, vía correo electrónico del 22/03/2023.</t>
    </r>
  </si>
  <si>
    <t>Informe período enero-febrero 2023,  radicado I 2023000947  de 31-03-2023</t>
  </si>
  <si>
    <t>Informes de Cajas menores para funcionamiento e Inversión y Operación, radicados I2023000945 e I2023000946 respectivamente de 31-03-2023</t>
  </si>
  <si>
    <t>Se enviaron certificados con las siguentes fechas:
Enero: 9 de febrero de 2023
Febrero: 9 de marzo de 2023
Marzo: Vence el 13 de abril de 2023</t>
  </si>
  <si>
    <r>
      <t>Se elaboró el I</t>
    </r>
    <r>
      <rPr>
        <b/>
        <sz val="20"/>
        <rFont val="Calibri"/>
        <family val="2"/>
        <scheme val="minor"/>
      </rPr>
      <t xml:space="preserve">NFORME RACIONALIZACION ANTITRAMITES </t>
    </r>
    <r>
      <rPr>
        <sz val="20"/>
        <rFont val="Calibri"/>
        <family val="2"/>
        <scheme val="minor"/>
      </rPr>
      <t xml:space="preserve">- Radicado </t>
    </r>
    <r>
      <rPr>
        <b/>
        <sz val="20"/>
        <rFont val="Calibri"/>
        <family val="2"/>
        <scheme val="minor"/>
      </rPr>
      <t>I2023000487</t>
    </r>
    <r>
      <rPr>
        <sz val="20"/>
        <rFont val="Calibri"/>
        <family val="2"/>
        <scheme val="minor"/>
      </rPr>
      <t xml:space="preserve"> de febrero 24 de 2023</t>
    </r>
  </si>
  <si>
    <t>Elaboración y presentación a la Dirección Nacional de derechos de Autor - DNDA, del Informe de software legal de la Empresa para la vigencia 2022 el día 17/03/2023</t>
  </si>
  <si>
    <t>Se tiene programado emitir el Informe de evaluación al software de la Empresa la segunda semana de abril/23, en virtud a que en reunión virtual el día 31 de marzo/23 con colaboradores del Proceso de Gestión de TIC, para revisar el informe se detectaron inconsistencias en la información reportada por el proceso</t>
  </si>
  <si>
    <t>Una vez registrado el informe en la RNBD por parte del Proceso TIC el día 31 de marzo de 2023, se solicitará la información para proceder con la evaluación respectiva durante la segunda semana de abril/23</t>
  </si>
  <si>
    <t>Se solicitó a los procesos por correo electrónico con fecha 30 de marzo/23 el seguimiento a las acciones del PMC, con corte a 31 de marzo de 2023, para proceder con la preparación del informe respectivo durante la segunda semana de abril/23</t>
  </si>
  <si>
    <t>Actifvidad realiazada, con radicado No. I2023000684 del 10 de Marzo de 2023, pendiente por reasignar responsable, según idicaciones de la jefatura de la OCI.</t>
  </si>
  <si>
    <t>Actividad ejecutada, con radicado No. I2023000360 del 14 de Febrero de 2023</t>
  </si>
  <si>
    <t>Seguimiento Plan Anticorrupción y de atención al Ciudadno corte Septiembre - diciembre 2022 publicado el 16 de enero de 2023 en en link:http://www.eru.gov.co/transparencia/planeacion-presupuesto-e-informes/informes-oficina-control-interno</t>
  </si>
  <si>
    <t>Matriz de Seguimiento Mapa de Riesgos por Procesos y corrupción corte Septiembre - diciembre 2022 publicado el 16 de enero de 2023 en en link:http://www.eru.gov.co/transparencia/planeacion-presupuesto-e-informes/informes-oficina-control-interno
Informe Seguimiento Mapa de Riesgos  Septiembre - Diciembre 2022 Rad. I2023000489 del 24 de febrero de 2023.</t>
  </si>
  <si>
    <t>Informe Líneas de Defensa Diciembre 31 de 2023, Rad  I202300863 del 27 de marzo de 2023.</t>
  </si>
  <si>
    <t>Matriz de Seguimiento Plan de Mejoramiento Octubre - Diciembre 2022 publicada en la pagina Web el  25 de enero de 2023
INFORME DE SEGUIMIENTO PLAN DE MEJORAMIENTO POR PROCESOS CORTE OCTUBRE - DICIEMBRE DE 2022. RADICADO I2023000548 el 28 de febrero de 2023</t>
  </si>
  <si>
    <t xml:space="preserve">Se efectuarn 3 visitas por parte de la contraloria:
Rad E2023000135 Proceso resp Fiscal 1701000271-20
Rad E2023001435 Visita adtiva Cod 47 PAD 2023.
Rad E2023 002155 Solicitud Inf Fiducias </t>
  </si>
  <si>
    <t>El Comité Institucional de Control Interno realizó su primera sesión el 26/01/2023</t>
  </si>
  <si>
    <t xml:space="preserve">El 29/03/2023 se realizó la reunión de apertura de la auditoría. Se encuentra con unporcentaje del 30 % de ejecución a la fecha. </t>
  </si>
  <si>
    <t>Se realizo indorme en el 15 de febrero de 2023 con Rad I2023000376 correspondiente al tercer y cuarto trimestre de 2022.</t>
  </si>
  <si>
    <t>Se realizo informe el día 27 de febrero de 2023, con Rad I2023000501 correspondiente al segundo semestre de 2022,</t>
  </si>
  <si>
    <t>Se presento al Comité CICCI el 26-01-2023</t>
  </si>
  <si>
    <t>INFORME Radicado I2023000920 de marzo 30 de 2023</t>
  </si>
  <si>
    <t>Acta Comité CICCI No. 1</t>
  </si>
  <si>
    <t>• Autoevaluación No 1 - febrero 28 de 2023.
• Autoevaluación No 2 - marzo 31 de 2023.</t>
  </si>
  <si>
    <r>
      <rPr>
        <b/>
        <u/>
        <sz val="20"/>
        <rFont val="Calibri"/>
        <family val="2"/>
        <scheme val="minor"/>
      </rPr>
      <t>REUNIONES DE AUTOEVALUACIÓN OCI.</t>
    </r>
    <r>
      <rPr>
        <sz val="20"/>
        <rFont val="Calibri"/>
        <family val="2"/>
        <scheme val="minor"/>
      </rPr>
      <t xml:space="preserve">
Nota: La Jefe de la Oficina de Control Interno (OCI), informa que para la actual vigencia, frente al ejercicio de autoevaluación, se presentaron dos circunstancias como el disfrute del período de vacaciones de la jefe titular de la OCI, quien regresó del mismo el 18 de enero de 2023 y la iniciación de la contratación del personal contratista requerido en el mes de febrero, por lo que se realizó retroalimentación vía correo electrónico y seguimiento de las tareas pendientes con cada uno de los miembros del equipo; por dicha razón no se realizó elaboración de acta de autoevaluación mensual de los meses de enero y febrero de 2023, con la totalidad del equipo, y se procede a incluir en la presente acta, el registro de los seguimientos de las tareas asignadas al grupo.
</t>
    </r>
  </si>
  <si>
    <t>Informe de Seguimiento Plan de Mejoramiento de la Contraloria corte diciembre 31 de 2022 Rad I2023000153 del 27 de enero de 2023</t>
  </si>
  <si>
    <t>Total requerimientos recibidos Primer Trimestre: 203, de los cuales 13 se encuentran en gestión y 190 atentidos.</t>
  </si>
  <si>
    <t>Evidencia</t>
  </si>
  <si>
    <t>Plan de trabajo, correos electrónicos envío Plan de trabajo, registro reunión de apertura</t>
  </si>
  <si>
    <t>El seguimiento a ésta actividad se realizara en el mes de junio y noviembre de 2023,  ya que Subgerencia de Planeación la está realizando y presentando en el Comité CIGD..</t>
  </si>
  <si>
    <t>Realizado el primer informe de seguimiento en Enero de 2023</t>
  </si>
  <si>
    <t>CUMPLIDO</t>
  </si>
  <si>
    <t>Se efectuó reunión de apertura el 14 de marzo de 2023. Serealizaron solicitudes de información.</t>
  </si>
  <si>
    <t>Este inicio depende la contratación de la firma que acompañará este tema.</t>
  </si>
  <si>
    <t>Realizado el primer informe de seguimiento de Ene- Feb 2023 de 2023</t>
  </si>
  <si>
    <r>
      <t xml:space="preserve">Daniel Cruz
Edgar Mogollón, Orlando Torres
</t>
    </r>
    <r>
      <rPr>
        <sz val="18"/>
        <rFont val="Calibri"/>
        <family val="2"/>
        <scheme val="minor"/>
      </rPr>
      <t>Primer Informe: Flora Ramirez - Karina Córdoba
Segundo Informe: Reasigndo a Karina Córdoba - Edgar Mogollón</t>
    </r>
  </si>
  <si>
    <t>Realizado el primer informe de seguimiento - Feb 2023 de 2023</t>
  </si>
  <si>
    <t>Se entregó a la Jefe de Oficina el cuadro de resumen  auditorías externas e internas  realizadas corte 31 de diciembre de 2022 el 25 de enero de 2023.
La actividad se complementara al momento de la emisión de los informes finales respectivos de la vigencia 2023</t>
  </si>
  <si>
    <t>De acuerdo a la reunión de autoevaluación No. 2, se indica solicitar la información a partir de la tercera semana de Abril, dado el corte trimestral de SEGPLAN:</t>
  </si>
  <si>
    <t xml:space="preserve">Esta actividad se realizará a partir del informe del FURAG que se emite en el mes de Mayo </t>
  </si>
  <si>
    <t>Realizado el primer informe de seguimiento - Marzo de 2023</t>
  </si>
  <si>
    <t xml:space="preserve">Seguimiento a la implementación del código de integridad de la Empresa vigencia 2023
Cumplimiento y eficacia de los programas de transparencia y ética empresarial. </t>
  </si>
  <si>
    <t>Actas de Comités Institucionales - Registro de asitencia reuniones- correos electrónicos</t>
  </si>
  <si>
    <t>Asistencia a los Comités Institucionales y reuniones citados.</t>
  </si>
  <si>
    <t>Mediante correo electrónico de 22/03/2023 se remitieron por parte de la jefe de la OCI los documentos Código de Ética y Estatuto del Auditor a la Oficina Asesora Jurídica para la expedición del acto administrativo de adopción de los documentos. 
Se reprograma para Abril de 2022, daod que en febrero se estab en procesos de contratacipon de auditores.</t>
  </si>
  <si>
    <t>Seguimiento Llíneas de Defensa</t>
  </si>
  <si>
    <t>Realizado el primer informe de seguimiento - Enero - Feb de 2023</t>
  </si>
  <si>
    <t>Auditoría en Ejecución por parte de la Contraloría</t>
  </si>
  <si>
    <t xml:space="preserve">Auditoría que según PAA de la Contraloría iniciará en el mes de Mayo de 2023. </t>
  </si>
  <si>
    <t xml:space="preserve">Se efectuaron 3 visitas por parte de la Contraloria:
Rad E2023000135 Proceso resp Fiscal 1701000271-20
Rad E2023001435 Visita adtiva Cod 47 PAD 2023.
Rad E2023 002155 Solicitud Inf Fiducias </t>
  </si>
  <si>
    <t xml:space="preserve">Se han reportado las Cuentas mensuales a la Contraloría oportunamente. </t>
  </si>
  <si>
    <r>
      <t xml:space="preserve">Reporte Cuenta Anual Vig 2022 -efectuado oportunamente.
</t>
    </r>
    <r>
      <rPr>
        <b/>
        <sz val="18"/>
        <rFont val="Calibri"/>
        <family val="2"/>
        <scheme val="minor"/>
      </rPr>
      <t>CUMPLIDO</t>
    </r>
  </si>
  <si>
    <t>Intervención y participación activa dentro de las competencias de la OCI, de manera oportuna y conforme al procedimiento establecido.</t>
  </si>
  <si>
    <t>Fecha: Abril 13 de 2023 - Oficina de Control Interno</t>
  </si>
  <si>
    <t>Versión 2 - 2023 - Seguimiento a marzo de 2023</t>
  </si>
  <si>
    <t>Versión 2 - 2023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</si>
</sst>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 #,##0_-;\-&quot;$&quot;\ * #,##0_-;_-&quot;$&quot;\ * &quot;-&quot;_-;_-@_-"/>
    <numFmt numFmtId="43" formatCode="_-* #,##0.00_-;\-* #,##0.00_-;_-* &quot;-&quot;??_-;_-@_-"/>
    <numFmt numFmtId="164" formatCode="_(&quot;$&quot;\ * #,##0.00_);_(&quot;$&quot;\ * \(#,##0.00\);_(&quot;$&quot;\ * &quot;-&quot;??_);_(@_)"/>
    <numFmt numFmtId="165" formatCode="[$-C0A]dd\-mmm\-yy;@"/>
    <numFmt numFmtId="166" formatCode="[$-C0A]d\-mmm\-yyyy;@"/>
    <numFmt numFmtId="167" formatCode="0.0"/>
    <numFmt numFmtId="168" formatCode="#,###\ &quot;COP&quot;"/>
  </numFmts>
  <fonts count="80"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b/>
      <sz val="16"/>
      <color theme="1"/>
      <name val="Century Gothic"/>
      <family val="2"/>
    </font>
    <font>
      <sz val="8"/>
      <name val="Calibri"/>
      <family val="2"/>
      <scheme val="minor"/>
    </font>
    <font>
      <sz val="11"/>
      <name val="Century Gothic"/>
      <family val="2"/>
    </font>
    <font>
      <b/>
      <sz val="11"/>
      <color theme="1"/>
      <name val="Arial"/>
      <family val="2"/>
    </font>
    <font>
      <b/>
      <sz val="10"/>
      <color theme="1"/>
      <name val="Verdana"/>
      <family val="2"/>
    </font>
    <font>
      <sz val="10"/>
      <color theme="1"/>
      <name val="Verdana"/>
      <family val="2"/>
    </font>
    <font>
      <b/>
      <sz val="14"/>
      <color theme="1"/>
      <name val="Calibri"/>
      <family val="2"/>
      <scheme val="minor"/>
    </font>
    <font>
      <sz val="18"/>
      <color theme="1"/>
      <name val="Calibri"/>
      <family val="2"/>
      <scheme val="minor"/>
    </font>
    <font>
      <sz val="18"/>
      <name val="Calibri"/>
      <family val="2"/>
      <scheme val="minor"/>
    </font>
    <font>
      <b/>
      <sz val="18"/>
      <color theme="1"/>
      <name val="Calibri"/>
      <family val="2"/>
      <scheme val="minor"/>
    </font>
    <font>
      <b/>
      <sz val="18"/>
      <name val="Calibri"/>
      <family val="2"/>
      <scheme val="minor"/>
    </font>
    <font>
      <i/>
      <sz val="18"/>
      <color theme="1"/>
      <name val="Calibri"/>
      <family val="2"/>
      <scheme val="minor"/>
    </font>
    <font>
      <sz val="11"/>
      <color theme="1" tint="4.9989318521683403E-2"/>
      <name val="Arial"/>
      <family val="2"/>
    </font>
    <font>
      <u/>
      <sz val="11"/>
      <color theme="10"/>
      <name val="Arial"/>
      <family val="2"/>
    </font>
    <font>
      <sz val="11"/>
      <color theme="0"/>
      <name val="Arial"/>
      <family val="2"/>
    </font>
    <font>
      <sz val="11"/>
      <color theme="1"/>
      <name val="Arial"/>
      <family val="2"/>
    </font>
    <font>
      <b/>
      <sz val="11"/>
      <color theme="0"/>
      <name val="Arial"/>
      <family val="2"/>
    </font>
    <font>
      <sz val="11"/>
      <name val="Century Gothic"/>
      <family val="2"/>
    </font>
    <font>
      <sz val="20"/>
      <name val="Calibri"/>
      <family val="2"/>
      <scheme val="minor"/>
    </font>
    <font>
      <b/>
      <u/>
      <sz val="20"/>
      <name val="Calibri"/>
      <family val="2"/>
      <scheme val="minor"/>
    </font>
    <font>
      <b/>
      <sz val="20"/>
      <name val="Calibri"/>
      <family val="2"/>
      <scheme val="minor"/>
    </font>
    <font>
      <sz val="18"/>
      <color rgb="FFFF0000"/>
      <name val="Calibri"/>
      <family val="2"/>
      <scheme val="minor"/>
    </font>
  </fonts>
  <fills count="4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bgColor indexed="64"/>
      </patternFill>
    </fill>
    <fill>
      <patternFill patternType="solid">
        <fgColor rgb="FFDBE5F1"/>
        <bgColor indexed="64"/>
      </patternFill>
    </fill>
    <fill>
      <patternFill patternType="solid">
        <fgColor theme="9" tint="0.79998168889431442"/>
        <bgColor theme="4" tint="0.79998168889431442"/>
      </patternFill>
    </fill>
    <fill>
      <patternFill patternType="solid">
        <fgColor theme="9" tint="-0.49998474074526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9" tint="-0.499984740745262"/>
        <bgColor theme="4" tint="0.79998168889431442"/>
      </patternFill>
    </fill>
    <fill>
      <patternFill patternType="solid">
        <fgColor theme="0" tint="-0.34998626667073579"/>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right/>
      <top style="thin">
        <color auto="1"/>
      </top>
      <bottom style="medium">
        <color auto="1"/>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auto="1"/>
      </right>
      <top/>
      <bottom style="medium">
        <color indexed="64"/>
      </bottom>
      <diagonal/>
    </border>
    <border>
      <left style="medium">
        <color indexed="64"/>
      </left>
      <right/>
      <top style="thin">
        <color indexed="64"/>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164" fontId="26"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30" fillId="15" borderId="0" applyNumberFormat="0" applyBorder="0" applyAlignment="0" applyProtection="0"/>
    <xf numFmtId="0" fontId="30" fillId="16" borderId="0" applyNumberFormat="0" applyBorder="0" applyAlignment="0" applyProtection="0"/>
    <xf numFmtId="0" fontId="37" fillId="14" borderId="0" applyNumberFormat="0" applyBorder="0" applyAlignment="0" applyProtection="0"/>
    <xf numFmtId="0" fontId="52" fillId="0" borderId="0"/>
    <xf numFmtId="0" fontId="62" fillId="41" borderId="0" applyNumberFormat="0" applyBorder="0" applyProtection="0">
      <alignment horizontal="center" vertical="center"/>
    </xf>
    <xf numFmtId="49" fontId="63" fillId="0" borderId="0" applyFill="0" applyBorder="0" applyProtection="0">
      <alignment horizontal="left" vertical="center"/>
    </xf>
    <xf numFmtId="168" fontId="2" fillId="0" borderId="0" applyFont="0" applyFill="0" applyBorder="0" applyAlignment="0" applyProtection="0"/>
    <xf numFmtId="42" fontId="1" fillId="0" borderId="0" applyFont="0" applyFill="0" applyBorder="0" applyAlignment="0" applyProtection="0"/>
  </cellStyleXfs>
  <cellXfs count="716">
    <xf numFmtId="0" fontId="0" fillId="0" borderId="0" xfId="0"/>
    <xf numFmtId="0" fontId="0" fillId="0" borderId="1" xfId="0" applyBorder="1"/>
    <xf numFmtId="0" fontId="0" fillId="0" borderId="16" xfId="0" applyBorder="1"/>
    <xf numFmtId="0" fontId="0" fillId="0" borderId="17" xfId="0" applyBorder="1"/>
    <xf numFmtId="9" fontId="0" fillId="0" borderId="18" xfId="2" applyFont="1" applyBorder="1"/>
    <xf numFmtId="0" fontId="0" fillId="0" borderId="19" xfId="0" applyBorder="1"/>
    <xf numFmtId="9" fontId="0" fillId="0" borderId="20" xfId="2" applyFont="1" applyBorder="1"/>
    <xf numFmtId="0" fontId="0" fillId="0" borderId="21" xfId="0" applyBorder="1"/>
    <xf numFmtId="0" fontId="0" fillId="0" borderId="5" xfId="0" applyBorder="1"/>
    <xf numFmtId="9" fontId="0" fillId="0" borderId="22" xfId="2" applyFont="1" applyBorder="1"/>
    <xf numFmtId="0" fontId="0" fillId="0" borderId="23" xfId="0" applyBorder="1"/>
    <xf numFmtId="0" fontId="0" fillId="0" borderId="12" xfId="0" applyBorder="1"/>
    <xf numFmtId="0" fontId="0" fillId="0" borderId="24" xfId="0" applyBorder="1"/>
    <xf numFmtId="0" fontId="10" fillId="9" borderId="28" xfId="0" applyFont="1" applyFill="1" applyBorder="1" applyAlignment="1">
      <alignment horizontal="center"/>
    </xf>
    <xf numFmtId="0" fontId="0" fillId="0" borderId="0" xfId="0" applyAlignment="1">
      <alignment wrapText="1"/>
    </xf>
    <xf numFmtId="0" fontId="0" fillId="7" borderId="34" xfId="0" applyFill="1" applyBorder="1"/>
    <xf numFmtId="0" fontId="0" fillId="7" borderId="35" xfId="0" applyFill="1" applyBorder="1"/>
    <xf numFmtId="0" fontId="0" fillId="7" borderId="36" xfId="0" applyFill="1" applyBorder="1"/>
    <xf numFmtId="0" fontId="0" fillId="7" borderId="13" xfId="0" applyFill="1" applyBorder="1"/>
    <xf numFmtId="0" fontId="0" fillId="7" borderId="0" xfId="0" applyFill="1"/>
    <xf numFmtId="0" fontId="0" fillId="7" borderId="14" xfId="0" applyFill="1" applyBorder="1"/>
    <xf numFmtId="0" fontId="0" fillId="7" borderId="7" xfId="0" applyFill="1" applyBorder="1"/>
    <xf numFmtId="0" fontId="0" fillId="7" borderId="4" xfId="0" applyFill="1" applyBorder="1"/>
    <xf numFmtId="0" fontId="0" fillId="7" borderId="8" xfId="0" applyFill="1" applyBorder="1"/>
    <xf numFmtId="0" fontId="15" fillId="7" borderId="13" xfId="0" applyFont="1" applyFill="1" applyBorder="1" applyAlignment="1">
      <alignment horizontal="justify" vertical="center"/>
    </xf>
    <xf numFmtId="0" fontId="18" fillId="7" borderId="0" xfId="0" applyFont="1" applyFill="1"/>
    <xf numFmtId="0" fontId="15" fillId="7" borderId="7" xfId="0" applyFont="1" applyFill="1" applyBorder="1" applyAlignment="1">
      <alignment horizontal="justify" vertical="center"/>
    </xf>
    <xf numFmtId="0" fontId="17" fillId="0" borderId="28" xfId="0" applyFont="1" applyBorder="1"/>
    <xf numFmtId="14" fontId="16" fillId="0" borderId="30" xfId="0" applyNumberFormat="1" applyFont="1" applyBorder="1"/>
    <xf numFmtId="0" fontId="16" fillId="0" borderId="0" xfId="0" applyFont="1"/>
    <xf numFmtId="9" fontId="0" fillId="0" borderId="40" xfId="2" applyFont="1" applyBorder="1"/>
    <xf numFmtId="0" fontId="0" fillId="0" borderId="26" xfId="0" applyBorder="1" applyAlignment="1">
      <alignment horizontal="center"/>
    </xf>
    <xf numFmtId="9" fontId="0" fillId="7" borderId="35" xfId="0" applyNumberFormat="1" applyFill="1" applyBorder="1"/>
    <xf numFmtId="9" fontId="0" fillId="7" borderId="0" xfId="0" applyNumberFormat="1" applyFill="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0" xfId="0" applyFont="1" applyAlignment="1">
      <alignment horizontal="left" vertical="top"/>
    </xf>
    <xf numFmtId="0" fontId="17" fillId="0" borderId="1" xfId="0" applyFont="1" applyBorder="1" applyAlignment="1">
      <alignment horizontal="center" vertical="center"/>
    </xf>
    <xf numFmtId="0" fontId="28" fillId="7" borderId="13"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4"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8" fillId="7" borderId="37" xfId="0" applyFont="1" applyFill="1" applyBorder="1" applyAlignment="1">
      <alignment horizontal="left" vertical="center"/>
    </xf>
    <xf numFmtId="0" fontId="17" fillId="0" borderId="0" xfId="0" applyFont="1"/>
    <xf numFmtId="14" fontId="16" fillId="0" borderId="0" xfId="0" applyNumberFormat="1" applyFont="1"/>
    <xf numFmtId="0" fontId="18" fillId="7" borderId="0" xfId="0" applyFont="1" applyFill="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18" borderId="0" xfId="0" applyFill="1"/>
    <xf numFmtId="0" fontId="17" fillId="7" borderId="42" xfId="0" applyFont="1" applyFill="1" applyBorder="1" applyAlignment="1">
      <alignment vertical="center"/>
    </xf>
    <xf numFmtId="0" fontId="0" fillId="7" borderId="0" xfId="0" applyFill="1" applyAlignment="1">
      <alignment wrapText="1"/>
    </xf>
    <xf numFmtId="0" fontId="17" fillId="7" borderId="0" xfId="0" applyFont="1" applyFill="1" applyAlignment="1">
      <alignment vertical="center"/>
    </xf>
    <xf numFmtId="0" fontId="0" fillId="7" borderId="0" xfId="0" applyFill="1" applyAlignment="1">
      <alignment horizontal="center"/>
    </xf>
    <xf numFmtId="0" fontId="16" fillId="0" borderId="19" xfId="0" applyFont="1" applyBorder="1"/>
    <xf numFmtId="0" fontId="0" fillId="0" borderId="13" xfId="0" applyBorder="1"/>
    <xf numFmtId="0" fontId="0" fillId="0" borderId="14" xfId="0" applyBorder="1"/>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0" xfId="0" applyFont="1" applyBorder="1" applyAlignment="1">
      <alignment wrapText="1"/>
    </xf>
    <xf numFmtId="0" fontId="16" fillId="0" borderId="5" xfId="0" applyFont="1" applyBorder="1" applyAlignment="1">
      <alignment horizontal="left" vertical="center" wrapText="1"/>
    </xf>
    <xf numFmtId="0" fontId="16" fillId="0" borderId="22" xfId="0" applyFont="1" applyBorder="1" applyAlignment="1">
      <alignment wrapText="1"/>
    </xf>
    <xf numFmtId="0" fontId="33" fillId="20" borderId="1" xfId="0" applyFont="1" applyFill="1" applyBorder="1" applyAlignment="1">
      <alignment horizontal="center"/>
    </xf>
    <xf numFmtId="0" fontId="17" fillId="0" borderId="1" xfId="0" applyFont="1" applyBorder="1" applyAlignment="1">
      <alignment horizontal="left" vertical="center"/>
    </xf>
    <xf numFmtId="0" fontId="34"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4" fillId="0" borderId="1" xfId="5" applyFont="1" applyBorder="1" applyAlignment="1">
      <alignment horizontal="center" vertical="center"/>
    </xf>
    <xf numFmtId="0" fontId="34" fillId="0" borderId="1" xfId="5" quotePrefix="1" applyFont="1" applyBorder="1" applyAlignment="1">
      <alignment horizontal="center" vertical="center"/>
    </xf>
    <xf numFmtId="0" fontId="17" fillId="0" borderId="1" xfId="0" applyFont="1" applyBorder="1" applyAlignment="1">
      <alignment vertical="center" wrapText="1"/>
    </xf>
    <xf numFmtId="0" fontId="34" fillId="0" borderId="1" xfId="5" quotePrefix="1" applyFont="1" applyBorder="1"/>
    <xf numFmtId="0" fontId="35" fillId="0" borderId="0" xfId="0" applyFont="1"/>
    <xf numFmtId="0" fontId="35" fillId="0" borderId="0" xfId="0" applyFont="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4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16" fillId="7" borderId="0" xfId="0" applyFont="1" applyFill="1"/>
    <xf numFmtId="9" fontId="16" fillId="7" borderId="0" xfId="2" applyFont="1" applyFill="1"/>
    <xf numFmtId="0" fontId="16" fillId="0" borderId="13" xfId="0" applyFont="1" applyBorder="1"/>
    <xf numFmtId="0" fontId="16" fillId="0" borderId="14" xfId="0" applyFont="1" applyBorder="1"/>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16" fillId="11" borderId="19" xfId="11" applyFont="1" applyFill="1" applyBorder="1" applyAlignment="1">
      <alignment horizontal="center" vertical="center"/>
    </xf>
    <xf numFmtId="0" fontId="16" fillId="11" borderId="20" xfId="11" applyFont="1" applyFill="1" applyBorder="1" applyAlignment="1">
      <alignment horizontal="center" vertical="center" wrapText="1"/>
    </xf>
    <xf numFmtId="0" fontId="43" fillId="0" borderId="20" xfId="0" applyFont="1" applyBorder="1" applyAlignment="1">
      <alignment horizontal="center" vertical="center" wrapText="1"/>
    </xf>
    <xf numFmtId="0" fontId="42" fillId="0" borderId="5" xfId="12" applyFont="1" applyFill="1" applyBorder="1"/>
    <xf numFmtId="0" fontId="42" fillId="0" borderId="5" xfId="12" applyFont="1" applyFill="1" applyBorder="1" applyAlignment="1">
      <alignment horizontal="center"/>
    </xf>
    <xf numFmtId="0" fontId="44" fillId="24" borderId="5" xfId="0" applyFont="1" applyFill="1" applyBorder="1" applyAlignment="1">
      <alignment horizontal="center" vertical="center" wrapText="1"/>
    </xf>
    <xf numFmtId="0" fontId="35" fillId="0" borderId="1" xfId="0" applyFont="1" applyBorder="1"/>
    <xf numFmtId="0" fontId="35" fillId="7" borderId="0" xfId="0" applyFont="1" applyFill="1"/>
    <xf numFmtId="0" fontId="36" fillId="7" borderId="0" xfId="0" applyFont="1" applyFill="1" applyAlignment="1">
      <alignment horizontal="center"/>
    </xf>
    <xf numFmtId="0" fontId="35" fillId="7" borderId="0" xfId="0" applyFont="1" applyFill="1" applyAlignment="1">
      <alignment horizontal="center"/>
    </xf>
    <xf numFmtId="0" fontId="36" fillId="7" borderId="0" xfId="0" applyFont="1" applyFill="1"/>
    <xf numFmtId="0" fontId="46" fillId="11" borderId="1" xfId="0" applyFont="1" applyFill="1" applyBorder="1" applyAlignment="1">
      <alignment horizontal="center"/>
    </xf>
    <xf numFmtId="0" fontId="47" fillId="0" borderId="1" xfId="0" applyFont="1" applyBorder="1" applyAlignment="1">
      <alignment horizontal="center"/>
    </xf>
    <xf numFmtId="0" fontId="35" fillId="0" borderId="52" xfId="0" applyFont="1" applyBorder="1"/>
    <xf numFmtId="0" fontId="47" fillId="0" borderId="1" xfId="0" applyFont="1" applyBorder="1"/>
    <xf numFmtId="0" fontId="46" fillId="11" borderId="1" xfId="0" applyFont="1" applyFill="1" applyBorder="1"/>
    <xf numFmtId="0" fontId="46" fillId="0" borderId="0" xfId="0" applyFont="1"/>
    <xf numFmtId="0" fontId="13" fillId="7" borderId="0" xfId="5" applyFill="1"/>
    <xf numFmtId="0" fontId="35" fillId="0" borderId="53" xfId="0" applyFont="1" applyBorder="1" applyAlignment="1">
      <alignment horizontal="center"/>
    </xf>
    <xf numFmtId="0" fontId="17" fillId="7" borderId="0" xfId="0" applyFont="1" applyFill="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22"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7" fillId="0" borderId="0" xfId="0" applyFont="1"/>
    <xf numFmtId="0" fontId="16" fillId="20" borderId="1" xfId="0" applyFont="1" applyFill="1" applyBorder="1" applyAlignment="1">
      <alignment horizontal="center"/>
    </xf>
    <xf numFmtId="9" fontId="33" fillId="20" borderId="1" xfId="0" applyNumberFormat="1" applyFont="1" applyFill="1" applyBorder="1" applyAlignment="1">
      <alignment horizontal="center" wrapText="1"/>
    </xf>
    <xf numFmtId="9" fontId="33" fillId="23" borderId="1" xfId="0" applyNumberFormat="1" applyFont="1" applyFill="1" applyBorder="1" applyAlignment="1">
      <alignment horizontal="center" wrapText="1"/>
    </xf>
    <xf numFmtId="10" fontId="33"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7" fillId="22" borderId="1" xfId="0" applyFont="1" applyFill="1" applyBorder="1" applyAlignment="1">
      <alignment horizontal="center"/>
    </xf>
    <xf numFmtId="167" fontId="47" fillId="0" borderId="1" xfId="0" applyNumberFormat="1" applyFont="1" applyBorder="1" applyAlignment="1">
      <alignment horizontal="center"/>
    </xf>
    <xf numFmtId="167" fontId="47" fillId="0" borderId="1" xfId="0" applyNumberFormat="1" applyFont="1" applyBorder="1" applyAlignment="1">
      <alignment horizontal="center" wrapText="1"/>
    </xf>
    <xf numFmtId="1" fontId="47" fillId="17" borderId="1" xfId="0" applyNumberFormat="1" applyFont="1" applyFill="1" applyBorder="1" applyAlignment="1">
      <alignment horizontal="center" wrapText="1"/>
    </xf>
    <xf numFmtId="1" fontId="47" fillId="0" borderId="1" xfId="0" applyNumberFormat="1" applyFont="1" applyBorder="1" applyAlignment="1">
      <alignment horizontal="center" wrapText="1"/>
    </xf>
    <xf numFmtId="0" fontId="47" fillId="0" borderId="44" xfId="0" applyFont="1" applyBorder="1"/>
    <xf numFmtId="0" fontId="47" fillId="0" borderId="45" xfId="0" applyFont="1" applyBorder="1"/>
    <xf numFmtId="0" fontId="46" fillId="0" borderId="12" xfId="0" applyFont="1" applyBorder="1"/>
    <xf numFmtId="1" fontId="46" fillId="0" borderId="1" xfId="0" applyNumberFormat="1" applyFont="1" applyBorder="1" applyAlignment="1">
      <alignment horizontal="center"/>
    </xf>
    <xf numFmtId="0" fontId="47" fillId="7" borderId="0" xfId="0" applyFont="1" applyFill="1"/>
    <xf numFmtId="1" fontId="35" fillId="0" borderId="1" xfId="0" applyNumberFormat="1" applyFont="1" applyBorder="1"/>
    <xf numFmtId="0" fontId="46" fillId="11" borderId="1" xfId="0" applyFont="1" applyFill="1" applyBorder="1" applyAlignment="1">
      <alignment wrapText="1"/>
    </xf>
    <xf numFmtId="0" fontId="17" fillId="26" borderId="34" xfId="0" applyFont="1" applyFill="1" applyBorder="1"/>
    <xf numFmtId="0" fontId="17" fillId="26" borderId="35" xfId="0" applyFont="1" applyFill="1" applyBorder="1"/>
    <xf numFmtId="0" fontId="17" fillId="26" borderId="36" xfId="0" applyFont="1" applyFill="1" applyBorder="1"/>
    <xf numFmtId="0" fontId="17" fillId="26" borderId="7" xfId="0" applyFont="1" applyFill="1" applyBorder="1"/>
    <xf numFmtId="0" fontId="17" fillId="26" borderId="4" xfId="0" applyFont="1" applyFill="1" applyBorder="1"/>
    <xf numFmtId="0" fontId="17" fillId="26" borderId="8" xfId="0" applyFont="1" applyFill="1" applyBorder="1"/>
    <xf numFmtId="0" fontId="17" fillId="0" borderId="13" xfId="0" applyFont="1" applyBorder="1"/>
    <xf numFmtId="0" fontId="16" fillId="7" borderId="1" xfId="0" applyFont="1" applyFill="1" applyBorder="1" applyAlignment="1">
      <alignment wrapText="1"/>
    </xf>
    <xf numFmtId="0" fontId="43" fillId="0" borderId="44" xfId="0" applyFont="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0" fillId="0" borderId="20" xfId="0" applyFont="1" applyBorder="1" applyAlignment="1">
      <alignment horizontal="center"/>
    </xf>
    <xf numFmtId="0" fontId="46" fillId="11" borderId="19" xfId="0" applyFont="1" applyFill="1" applyBorder="1" applyAlignment="1">
      <alignment wrapText="1"/>
    </xf>
    <xf numFmtId="0" fontId="35" fillId="7" borderId="20" xfId="0" applyFont="1" applyFill="1" applyBorder="1"/>
    <xf numFmtId="1" fontId="35" fillId="7" borderId="20" xfId="0" applyNumberFormat="1" applyFont="1" applyFill="1" applyBorder="1"/>
    <xf numFmtId="0" fontId="46" fillId="11" borderId="21" xfId="0" applyFont="1" applyFill="1" applyBorder="1" applyAlignment="1">
      <alignment wrapText="1"/>
    </xf>
    <xf numFmtId="0" fontId="49" fillId="14" borderId="8" xfId="13" applyFont="1" applyBorder="1" applyAlignment="1">
      <alignment horizontal="center"/>
    </xf>
    <xf numFmtId="0" fontId="50" fillId="0" borderId="13" xfId="0" applyFont="1" applyBorder="1"/>
    <xf numFmtId="0" fontId="51" fillId="0" borderId="13" xfId="5" applyFont="1" applyFill="1" applyBorder="1"/>
    <xf numFmtId="0" fontId="16" fillId="7" borderId="0" xfId="0" applyFont="1" applyFill="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9" xfId="0" applyFont="1" applyFill="1" applyBorder="1" applyAlignment="1">
      <alignment horizontal="center" vertical="center" wrapText="1"/>
    </xf>
    <xf numFmtId="0" fontId="16" fillId="0" borderId="9" xfId="0" applyFont="1" applyBorder="1" applyAlignment="1">
      <alignment vertical="center" wrapText="1"/>
    </xf>
    <xf numFmtId="0" fontId="12" fillId="18" borderId="0" xfId="0" applyFont="1" applyFill="1" applyAlignment="1">
      <alignment vertical="center"/>
    </xf>
    <xf numFmtId="0" fontId="13" fillId="18" borderId="0" xfId="5" applyFill="1" applyBorder="1" applyAlignment="1">
      <alignment vertical="center"/>
    </xf>
    <xf numFmtId="0" fontId="29" fillId="0" borderId="0" xfId="14" applyFont="1"/>
    <xf numFmtId="0" fontId="53" fillId="29" borderId="75" xfId="14" applyFont="1" applyFill="1" applyBorder="1" applyAlignment="1">
      <alignment horizontal="center"/>
    </xf>
    <xf numFmtId="9" fontId="29" fillId="0" borderId="86" xfId="14" applyNumberFormat="1" applyFont="1" applyBorder="1"/>
    <xf numFmtId="0" fontId="29" fillId="0" borderId="87" xfId="14" applyFont="1" applyBorder="1"/>
    <xf numFmtId="0" fontId="10" fillId="0" borderId="17"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6" xfId="0" applyBorder="1" applyAlignment="1">
      <alignment wrapText="1"/>
    </xf>
    <xf numFmtId="0" fontId="0" fillId="0" borderId="51" xfId="0" applyBorder="1"/>
    <xf numFmtId="0" fontId="0" fillId="0" borderId="20" xfId="0" applyBorder="1"/>
    <xf numFmtId="0" fontId="56" fillId="35" borderId="20" xfId="14" applyFont="1" applyFill="1" applyBorder="1" applyAlignment="1">
      <alignment horizontal="center"/>
    </xf>
    <xf numFmtId="0" fontId="0" fillId="0" borderId="12" xfId="0" applyBorder="1" applyAlignment="1">
      <alignment wrapText="1"/>
    </xf>
    <xf numFmtId="0" fontId="0" fillId="0" borderId="1" xfId="0" applyBorder="1" applyAlignment="1">
      <alignment wrapText="1"/>
    </xf>
    <xf numFmtId="0" fontId="43" fillId="30" borderId="58" xfId="14" applyFont="1" applyFill="1" applyBorder="1"/>
    <xf numFmtId="0" fontId="29" fillId="0" borderId="0" xfId="14" applyFont="1" applyAlignment="1">
      <alignment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wrapText="1"/>
    </xf>
    <xf numFmtId="0" fontId="10" fillId="0" borderId="1" xfId="0" applyFont="1" applyBorder="1"/>
    <xf numFmtId="0" fontId="10" fillId="0" borderId="1" xfId="0" applyFont="1" applyBorder="1" applyAlignment="1">
      <alignment horizontal="center"/>
    </xf>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14" fontId="0" fillId="0" borderId="1" xfId="0" applyNumberFormat="1" applyBorder="1"/>
    <xf numFmtId="0" fontId="13" fillId="0" borderId="1" xfId="5" applyBorder="1" applyAlignment="1">
      <alignment horizontal="left" vertical="center"/>
    </xf>
    <xf numFmtId="0" fontId="13" fillId="0" borderId="1" xfId="5" applyBorder="1" applyAlignment="1">
      <alignment horizontal="left" vertical="center" wrapText="1"/>
    </xf>
    <xf numFmtId="0" fontId="16" fillId="0" borderId="5" xfId="0" applyFont="1" applyBorder="1" applyAlignment="1">
      <alignment horizontal="center" vertical="center" wrapText="1"/>
    </xf>
    <xf numFmtId="0" fontId="43" fillId="0" borderId="19"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pplyAlignment="1">
      <alignment vertical="center" wrapText="1"/>
    </xf>
    <xf numFmtId="0" fontId="43" fillId="0" borderId="1" xfId="0" applyFont="1" applyBorder="1" applyAlignment="1">
      <alignment horizontal="center" vertical="center"/>
    </xf>
    <xf numFmtId="9" fontId="29" fillId="0" borderId="86" xfId="14" applyNumberFormat="1" applyFont="1" applyBorder="1" applyAlignment="1">
      <alignment vertical="center"/>
    </xf>
    <xf numFmtId="1" fontId="35" fillId="7" borderId="0" xfId="0" applyNumberFormat="1" applyFont="1" applyFill="1"/>
    <xf numFmtId="0" fontId="21" fillId="0" borderId="0" xfId="0" applyFont="1" applyAlignment="1">
      <alignment horizontal="center" vertical="top" wrapText="1"/>
    </xf>
    <xf numFmtId="14" fontId="16" fillId="0" borderId="1" xfId="0" applyNumberFormat="1" applyFont="1" applyBorder="1" applyAlignment="1">
      <alignment horizontal="center" vertical="center"/>
    </xf>
    <xf numFmtId="0" fontId="0" fillId="0" borderId="0" xfId="0" applyAlignment="1">
      <alignment horizontal="center"/>
    </xf>
    <xf numFmtId="0" fontId="16" fillId="7" borderId="0" xfId="0" applyFont="1" applyFill="1" applyAlignment="1">
      <alignment horizontal="center" wrapText="1"/>
    </xf>
    <xf numFmtId="0" fontId="16" fillId="7" borderId="0" xfId="0" applyFont="1" applyFill="1" applyAlignment="1">
      <alignment horizontal="center"/>
    </xf>
    <xf numFmtId="0" fontId="16" fillId="0" borderId="1" xfId="0" applyFont="1" applyBorder="1" applyAlignment="1">
      <alignment horizontal="center" vertical="center" wrapText="1"/>
    </xf>
    <xf numFmtId="0" fontId="13" fillId="0" borderId="1" xfId="5" applyBorder="1" applyAlignment="1">
      <alignment vertical="center" wrapText="1"/>
    </xf>
    <xf numFmtId="14" fontId="16" fillId="0" borderId="1" xfId="0" applyNumberFormat="1" applyFont="1" applyBorder="1" applyAlignment="1">
      <alignment horizontal="center" vertical="center" wrapText="1"/>
    </xf>
    <xf numFmtId="0" fontId="13" fillId="0" borderId="5" xfId="5" applyBorder="1" applyAlignment="1">
      <alignment wrapText="1"/>
    </xf>
    <xf numFmtId="14" fontId="16" fillId="0" borderId="5" xfId="0" applyNumberFormat="1" applyFont="1" applyBorder="1" applyAlignment="1">
      <alignment horizontal="center" vertical="center" wrapText="1"/>
    </xf>
    <xf numFmtId="9" fontId="29" fillId="0" borderId="28" xfId="14" applyNumberFormat="1" applyFont="1" applyBorder="1" applyAlignment="1">
      <alignment vertical="center"/>
    </xf>
    <xf numFmtId="9" fontId="29" fillId="0" borderId="29" xfId="14" applyNumberFormat="1" applyFont="1" applyBorder="1" applyAlignment="1">
      <alignment vertical="center"/>
    </xf>
    <xf numFmtId="9" fontId="29" fillId="0" borderId="30" xfId="14" applyNumberFormat="1" applyFont="1" applyBorder="1" applyAlignment="1">
      <alignment vertical="center"/>
    </xf>
    <xf numFmtId="0" fontId="56" fillId="35" borderId="95" xfId="14" applyFont="1" applyFill="1" applyBorder="1" applyAlignment="1">
      <alignment horizontal="center" vertical="center"/>
    </xf>
    <xf numFmtId="9" fontId="29" fillId="0" borderId="96" xfId="14" applyNumberFormat="1" applyFont="1" applyBorder="1" applyAlignment="1">
      <alignment vertical="center"/>
    </xf>
    <xf numFmtId="14" fontId="29" fillId="0" borderId="3" xfId="14" applyNumberFormat="1" applyFont="1" applyBorder="1" applyAlignment="1">
      <alignment vertical="center"/>
    </xf>
    <xf numFmtId="1" fontId="54" fillId="35" borderId="3" xfId="14" applyNumberFormat="1" applyFont="1" applyFill="1" applyBorder="1" applyAlignment="1">
      <alignment horizontal="center" vertical="center"/>
    </xf>
    <xf numFmtId="9" fontId="29" fillId="0" borderId="97" xfId="14" applyNumberFormat="1" applyFont="1" applyBorder="1" applyAlignment="1">
      <alignment vertical="center"/>
    </xf>
    <xf numFmtId="0" fontId="54" fillId="31" borderId="79" xfId="14" applyFont="1" applyFill="1" applyBorder="1" applyAlignment="1">
      <alignment horizontal="center" vertical="center"/>
    </xf>
    <xf numFmtId="0" fontId="54" fillId="32" borderId="79" xfId="14" applyFont="1" applyFill="1" applyBorder="1" applyAlignment="1">
      <alignment horizontal="center" vertical="center"/>
    </xf>
    <xf numFmtId="0" fontId="54" fillId="33" borderId="79" xfId="14" applyFont="1" applyFill="1" applyBorder="1" applyAlignment="1">
      <alignment horizontal="center" vertical="center"/>
    </xf>
    <xf numFmtId="0" fontId="54" fillId="34" borderId="0" xfId="14" applyFont="1" applyFill="1" applyAlignment="1">
      <alignment horizontal="center" vertical="center"/>
    </xf>
    <xf numFmtId="0" fontId="55" fillId="29" borderId="98" xfId="14" applyFont="1" applyFill="1" applyBorder="1" applyAlignment="1">
      <alignment horizontal="center" vertical="center"/>
    </xf>
    <xf numFmtId="0" fontId="29" fillId="0" borderId="95" xfId="14" applyFont="1" applyBorder="1" applyAlignment="1">
      <alignment horizontal="center" vertical="center"/>
    </xf>
    <xf numFmtId="0" fontId="29" fillId="0" borderId="99" xfId="14" applyFont="1" applyBorder="1" applyAlignment="1">
      <alignment horizontal="center" vertical="center"/>
    </xf>
    <xf numFmtId="0" fontId="56" fillId="35" borderId="100" xfId="14" applyFont="1" applyFill="1" applyBorder="1" applyAlignment="1">
      <alignment horizontal="center" vertical="center"/>
    </xf>
    <xf numFmtId="0" fontId="29" fillId="0" borderId="99" xfId="14" applyFont="1" applyBorder="1" applyAlignment="1">
      <alignment vertical="center"/>
    </xf>
    <xf numFmtId="9" fontId="29" fillId="0" borderId="101" xfId="14" applyNumberFormat="1" applyFont="1" applyBorder="1" applyAlignment="1">
      <alignment vertical="center"/>
    </xf>
    <xf numFmtId="0" fontId="29" fillId="0" borderId="102" xfId="14" applyFont="1" applyBorder="1" applyAlignment="1">
      <alignment vertical="center"/>
    </xf>
    <xf numFmtId="9" fontId="29" fillId="0" borderId="100" xfId="14" applyNumberFormat="1" applyFont="1" applyBorder="1" applyAlignment="1">
      <alignment vertical="center"/>
    </xf>
    <xf numFmtId="9" fontId="54" fillId="35" borderId="38" xfId="14" applyNumberFormat="1" applyFont="1" applyFill="1" applyBorder="1" applyAlignment="1">
      <alignment horizontal="center" vertical="center"/>
    </xf>
    <xf numFmtId="0" fontId="29" fillId="0" borderId="3" xfId="14" applyFont="1" applyBorder="1" applyAlignment="1">
      <alignment vertical="center"/>
    </xf>
    <xf numFmtId="0" fontId="29" fillId="0" borderId="84" xfId="14" applyFont="1" applyBorder="1"/>
    <xf numFmtId="0" fontId="29" fillId="0" borderId="104" xfId="14" applyFont="1" applyBorder="1"/>
    <xf numFmtId="0" fontId="29" fillId="0" borderId="103" xfId="14" applyFont="1" applyBorder="1"/>
    <xf numFmtId="0" fontId="29" fillId="0" borderId="105" xfId="14" applyFont="1" applyBorder="1"/>
    <xf numFmtId="0" fontId="53" fillId="0" borderId="85" xfId="14" applyFont="1" applyBorder="1"/>
    <xf numFmtId="9" fontId="0" fillId="0" borderId="91" xfId="2" applyFont="1" applyBorder="1"/>
    <xf numFmtId="9" fontId="0" fillId="0" borderId="44" xfId="2" applyFont="1" applyBorder="1"/>
    <xf numFmtId="9" fontId="0" fillId="0" borderId="94" xfId="2" applyFont="1" applyBorder="1"/>
    <xf numFmtId="0" fontId="6" fillId="2" borderId="88" xfId="3" applyFont="1" applyFill="1" applyBorder="1" applyAlignment="1">
      <alignment horizontal="center" vertical="center"/>
    </xf>
    <xf numFmtId="0" fontId="6" fillId="3" borderId="88" xfId="3" applyFont="1" applyFill="1" applyBorder="1" applyAlignment="1">
      <alignment horizontal="center" vertical="center"/>
    </xf>
    <xf numFmtId="0" fontId="6" fillId="4" borderId="88" xfId="3" applyFont="1" applyFill="1" applyBorder="1" applyAlignment="1">
      <alignment horizontal="center" vertical="center"/>
    </xf>
    <xf numFmtId="0" fontId="6" fillId="5" borderId="0" xfId="3" applyFont="1" applyFill="1" applyAlignment="1">
      <alignment horizontal="center" vertical="center"/>
    </xf>
    <xf numFmtId="0" fontId="7" fillId="9" borderId="34" xfId="3" applyFont="1" applyFill="1" applyBorder="1" applyAlignment="1">
      <alignment horizontal="center" vertical="center"/>
    </xf>
    <xf numFmtId="0" fontId="0" fillId="0" borderId="40" xfId="0" applyBorder="1" applyAlignment="1">
      <alignment horizontal="justify"/>
    </xf>
    <xf numFmtId="0" fontId="8" fillId="6" borderId="18" xfId="3" applyFont="1" applyFill="1" applyBorder="1" applyAlignment="1">
      <alignment horizontal="center"/>
    </xf>
    <xf numFmtId="0" fontId="8" fillId="6" borderId="20" xfId="3" applyFont="1" applyFill="1" applyBorder="1" applyAlignment="1">
      <alignment horizontal="center"/>
    </xf>
    <xf numFmtId="0" fontId="8" fillId="6" borderId="22" xfId="3" applyFont="1" applyFill="1" applyBorder="1" applyAlignment="1">
      <alignment horizontal="center"/>
    </xf>
    <xf numFmtId="0" fontId="8" fillId="6" borderId="16" xfId="3" applyFont="1" applyFill="1" applyBorder="1" applyAlignment="1">
      <alignment horizontal="center"/>
    </xf>
    <xf numFmtId="0" fontId="8" fillId="6" borderId="19" xfId="3" applyFont="1" applyFill="1" applyBorder="1" applyAlignment="1">
      <alignment horizontal="center"/>
    </xf>
    <xf numFmtId="0" fontId="8" fillId="6" borderId="21" xfId="3" applyFont="1" applyFill="1" applyBorder="1" applyAlignment="1">
      <alignment horizontal="center"/>
    </xf>
    <xf numFmtId="9" fontId="0" fillId="0" borderId="32" xfId="2" applyFont="1" applyBorder="1"/>
    <xf numFmtId="9" fontId="0" fillId="0" borderId="45" xfId="2" applyFont="1" applyBorder="1"/>
    <xf numFmtId="9" fontId="0" fillId="0" borderId="107" xfId="2" applyFont="1" applyBorder="1"/>
    <xf numFmtId="9" fontId="2" fillId="7" borderId="25" xfId="2" applyFont="1" applyFill="1" applyBorder="1" applyAlignment="1">
      <alignment horizontal="center"/>
    </xf>
    <xf numFmtId="9" fontId="2" fillId="7" borderId="26" xfId="2" applyFont="1" applyFill="1" applyBorder="1" applyAlignment="1">
      <alignment horizontal="center"/>
    </xf>
    <xf numFmtId="9" fontId="2" fillId="7" borderId="27" xfId="2" applyFont="1" applyFill="1" applyBorder="1" applyAlignment="1">
      <alignment horizontal="center"/>
    </xf>
    <xf numFmtId="1" fontId="2" fillId="7" borderId="25" xfId="1" applyNumberFormat="1" applyFont="1" applyFill="1" applyBorder="1" applyAlignment="1">
      <alignment horizontal="center"/>
    </xf>
    <xf numFmtId="1" fontId="2" fillId="7" borderId="26" xfId="1" applyNumberFormat="1" applyFont="1" applyFill="1" applyBorder="1" applyAlignment="1">
      <alignment horizontal="center"/>
    </xf>
    <xf numFmtId="1" fontId="2" fillId="7" borderId="27" xfId="1" applyNumberFormat="1" applyFont="1" applyFill="1" applyBorder="1" applyAlignment="1">
      <alignment horizontal="center"/>
    </xf>
    <xf numFmtId="14" fontId="0" fillId="0" borderId="25" xfId="0" applyNumberFormat="1" applyBorder="1"/>
    <xf numFmtId="14" fontId="0" fillId="0" borderId="26" xfId="0" applyNumberFormat="1" applyBorder="1"/>
    <xf numFmtId="14" fontId="0" fillId="0" borderId="27" xfId="0" applyNumberFormat="1" applyBorder="1"/>
    <xf numFmtId="0" fontId="43" fillId="20" borderId="1" xfId="0" applyFont="1" applyFill="1" applyBorder="1" applyAlignment="1">
      <alignment vertical="center" wrapText="1"/>
    </xf>
    <xf numFmtId="0" fontId="43" fillId="17" borderId="1" xfId="0" applyFont="1" applyFill="1" applyBorder="1" applyAlignment="1">
      <alignment vertical="center" wrapText="1"/>
    </xf>
    <xf numFmtId="0" fontId="43" fillId="39" borderId="1" xfId="0" applyFont="1" applyFill="1" applyBorder="1" applyAlignment="1">
      <alignment vertical="center" wrapText="1"/>
    </xf>
    <xf numFmtId="0" fontId="43" fillId="40" borderId="1" xfId="0" applyFont="1" applyFill="1" applyBorder="1" applyAlignment="1">
      <alignment vertical="center" wrapText="1"/>
    </xf>
    <xf numFmtId="0" fontId="43" fillId="36" borderId="1" xfId="0" applyFont="1" applyFill="1" applyBorder="1" applyAlignment="1">
      <alignment vertical="center" wrapText="1"/>
    </xf>
    <xf numFmtId="0" fontId="10" fillId="20" borderId="1" xfId="0" applyFont="1" applyFill="1" applyBorder="1" applyAlignment="1">
      <alignment horizontal="center"/>
    </xf>
    <xf numFmtId="0" fontId="0" fillId="25" borderId="1" xfId="0" applyFill="1" applyBorder="1" applyAlignment="1">
      <alignment horizontal="center" vertical="center"/>
    </xf>
    <xf numFmtId="9" fontId="0" fillId="25" borderId="1" xfId="0" applyNumberFormat="1" applyFill="1" applyBorder="1" applyAlignment="1">
      <alignment horizontal="center" vertical="center"/>
    </xf>
    <xf numFmtId="0" fontId="0" fillId="25" borderId="1" xfId="0" applyFill="1" applyBorder="1" applyAlignment="1">
      <alignment wrapText="1"/>
    </xf>
    <xf numFmtId="0" fontId="60" fillId="0" borderId="1" xfId="0" applyFont="1" applyBorder="1"/>
    <xf numFmtId="0" fontId="64" fillId="0" borderId="0" xfId="0" applyFont="1"/>
    <xf numFmtId="9" fontId="64" fillId="0" borderId="0" xfId="0" applyNumberFormat="1" applyFont="1"/>
    <xf numFmtId="0" fontId="29" fillId="0" borderId="3" xfId="14" applyFont="1" applyBorder="1" applyAlignment="1">
      <alignment horizontal="justify" vertical="center"/>
    </xf>
    <xf numFmtId="166" fontId="22" fillId="0" borderId="0" xfId="0" applyNumberFormat="1" applyFont="1" applyAlignment="1">
      <alignment horizontal="center" vertical="center" wrapText="1"/>
    </xf>
    <xf numFmtId="0" fontId="21" fillId="0" borderId="0" xfId="0" applyFont="1" applyAlignment="1">
      <alignment horizontal="left" vertical="top" wrapText="1"/>
    </xf>
    <xf numFmtId="0" fontId="24" fillId="0" borderId="0" xfId="0" applyFont="1" applyAlignment="1">
      <alignment horizontal="left" vertical="center" wrapText="1"/>
    </xf>
    <xf numFmtId="0" fontId="23" fillId="3" borderId="3" xfId="0" applyFont="1" applyFill="1" applyBorder="1" applyAlignment="1">
      <alignment horizontal="left" vertical="top" wrapText="1"/>
    </xf>
    <xf numFmtId="0" fontId="21" fillId="0" borderId="3" xfId="0" applyFont="1" applyBorder="1" applyAlignment="1">
      <alignment horizontal="left" vertical="top" wrapText="1"/>
    </xf>
    <xf numFmtId="0" fontId="60" fillId="0" borderId="44" xfId="0" applyFont="1" applyBorder="1" applyAlignment="1">
      <alignment horizontal="center" vertical="center" wrapText="1"/>
    </xf>
    <xf numFmtId="0" fontId="13" fillId="0" borderId="1" xfId="5" applyFill="1" applyBorder="1" applyAlignment="1">
      <alignment horizontal="left" vertical="center" wrapText="1"/>
    </xf>
    <xf numFmtId="0" fontId="65" fillId="0" borderId="1" xfId="0" applyFont="1" applyBorder="1" applyAlignment="1">
      <alignment horizontal="left" vertical="center" wrapText="1"/>
    </xf>
    <xf numFmtId="0" fontId="65" fillId="0" borderId="44" xfId="0" applyFont="1" applyBorder="1" applyAlignment="1">
      <alignment horizontal="left" vertical="center" wrapText="1"/>
    </xf>
    <xf numFmtId="0" fontId="65" fillId="0" borderId="19" xfId="0" applyFont="1" applyBorder="1" applyAlignment="1">
      <alignment horizontal="center" vertical="center"/>
    </xf>
    <xf numFmtId="0" fontId="65" fillId="0" borderId="1" xfId="0" applyFont="1" applyBorder="1" applyAlignment="1">
      <alignment horizontal="center" vertical="center"/>
    </xf>
    <xf numFmtId="0" fontId="65" fillId="0" borderId="44" xfId="0" applyFont="1" applyBorder="1" applyAlignment="1">
      <alignment horizontal="center" vertical="center"/>
    </xf>
    <xf numFmtId="0" fontId="65" fillId="0" borderId="1" xfId="0" applyFont="1" applyBorder="1" applyAlignment="1">
      <alignment horizontal="left" vertical="top"/>
    </xf>
    <xf numFmtId="0" fontId="65" fillId="0" borderId="20" xfId="0" applyFont="1" applyBorder="1" applyAlignment="1">
      <alignment horizontal="left" vertical="top"/>
    </xf>
    <xf numFmtId="0" fontId="65" fillId="0" borderId="19" xfId="0" applyFont="1" applyBorder="1" applyAlignment="1">
      <alignment horizontal="left" vertical="top"/>
    </xf>
    <xf numFmtId="0" fontId="65" fillId="0" borderId="50" xfId="0" applyFont="1" applyBorder="1" applyAlignment="1">
      <alignment horizontal="left" vertical="center" wrapText="1"/>
    </xf>
    <xf numFmtId="0" fontId="65" fillId="0" borderId="33" xfId="0" applyFont="1" applyBorder="1" applyAlignment="1">
      <alignment horizontal="center" vertical="center"/>
    </xf>
    <xf numFmtId="0" fontId="65" fillId="0" borderId="9" xfId="0" applyFont="1" applyBorder="1" applyAlignment="1">
      <alignment horizontal="center" vertical="center"/>
    </xf>
    <xf numFmtId="0" fontId="65" fillId="0" borderId="90" xfId="0" applyFont="1" applyBorder="1" applyAlignment="1">
      <alignment horizontal="center" vertical="center"/>
    </xf>
    <xf numFmtId="0" fontId="65" fillId="0" borderId="33" xfId="0" applyFont="1" applyBorder="1" applyAlignment="1">
      <alignment horizontal="left" vertical="top"/>
    </xf>
    <xf numFmtId="0" fontId="65" fillId="0" borderId="9" xfId="0" applyFont="1" applyBorder="1" applyAlignment="1">
      <alignment horizontal="left" vertical="top"/>
    </xf>
    <xf numFmtId="0" fontId="65" fillId="38" borderId="45" xfId="0" applyFont="1" applyFill="1" applyBorder="1" applyAlignment="1">
      <alignment horizontal="left" vertical="top"/>
    </xf>
    <xf numFmtId="0" fontId="65" fillId="38" borderId="47" xfId="0" applyFont="1" applyFill="1" applyBorder="1" applyAlignment="1">
      <alignment horizontal="left" vertical="top"/>
    </xf>
    <xf numFmtId="0" fontId="65" fillId="0" borderId="41" xfId="0" applyFont="1" applyBorder="1" applyAlignment="1">
      <alignment horizontal="left" vertical="top"/>
    </xf>
    <xf numFmtId="0" fontId="65" fillId="0" borderId="12" xfId="0" applyFont="1" applyBorder="1" applyAlignment="1">
      <alignment horizontal="justify" vertical="center" wrapText="1"/>
    </xf>
    <xf numFmtId="14" fontId="65" fillId="0" borderId="19" xfId="0" applyNumberFormat="1" applyFont="1" applyBorder="1" applyAlignment="1">
      <alignment horizontal="left" vertical="top"/>
    </xf>
    <xf numFmtId="165" fontId="66" fillId="0" borderId="19" xfId="0" applyNumberFormat="1" applyFont="1" applyBorder="1" applyAlignment="1">
      <alignment horizontal="center" vertical="center" wrapText="1"/>
    </xf>
    <xf numFmtId="165" fontId="66" fillId="0" borderId="1" xfId="0" applyNumberFormat="1" applyFont="1" applyBorder="1" applyAlignment="1">
      <alignment horizontal="center" vertical="center" wrapText="1"/>
    </xf>
    <xf numFmtId="166" fontId="66" fillId="0" borderId="19" xfId="0" applyNumberFormat="1" applyFont="1" applyBorder="1" applyAlignment="1">
      <alignment horizontal="center" vertical="center" wrapText="1"/>
    </xf>
    <xf numFmtId="166" fontId="66" fillId="0" borderId="1" xfId="0" applyNumberFormat="1" applyFont="1" applyBorder="1" applyAlignment="1">
      <alignment horizontal="center" vertical="center" wrapText="1"/>
    </xf>
    <xf numFmtId="0" fontId="65" fillId="0" borderId="44" xfId="0" applyFont="1" applyBorder="1" applyAlignment="1">
      <alignment horizontal="left" vertical="top"/>
    </xf>
    <xf numFmtId="0" fontId="65" fillId="0" borderId="9" xfId="0" applyFont="1" applyBorder="1" applyAlignment="1">
      <alignment horizontal="justify" vertical="center" wrapText="1"/>
    </xf>
    <xf numFmtId="0" fontId="65" fillId="0" borderId="90" xfId="0" applyFont="1" applyBorder="1" applyAlignment="1">
      <alignment horizontal="justify" vertical="center" wrapText="1"/>
    </xf>
    <xf numFmtId="0" fontId="65" fillId="0" borderId="20" xfId="0" applyFont="1" applyBorder="1" applyAlignment="1">
      <alignment horizontal="center" vertical="center"/>
    </xf>
    <xf numFmtId="0" fontId="65" fillId="0" borderId="20" xfId="0" applyFont="1" applyBorder="1" applyAlignment="1">
      <alignment horizontal="left" vertical="center" wrapText="1"/>
    </xf>
    <xf numFmtId="0" fontId="65" fillId="0" borderId="21" xfId="0" applyFont="1" applyBorder="1" applyAlignment="1">
      <alignment horizontal="center" vertical="center"/>
    </xf>
    <xf numFmtId="0" fontId="65" fillId="0" borderId="5" xfId="0" applyFont="1" applyBorder="1" applyAlignment="1">
      <alignment horizontal="center" vertical="center"/>
    </xf>
    <xf numFmtId="0" fontId="65" fillId="0" borderId="94" xfId="0" applyFont="1" applyBorder="1" applyAlignment="1">
      <alignment horizontal="center" vertical="center"/>
    </xf>
    <xf numFmtId="0" fontId="29" fillId="0" borderId="3" xfId="14" applyFont="1" applyBorder="1" applyAlignment="1">
      <alignment vertical="center" wrapText="1"/>
    </xf>
    <xf numFmtId="0" fontId="65" fillId="0" borderId="12" xfId="0" applyFont="1" applyBorder="1" applyAlignment="1">
      <alignment horizontal="left" vertical="center" wrapText="1"/>
    </xf>
    <xf numFmtId="0" fontId="23" fillId="39" borderId="3" xfId="0" applyFont="1" applyFill="1" applyBorder="1" applyAlignment="1">
      <alignment horizontal="left" vertical="top" wrapText="1"/>
    </xf>
    <xf numFmtId="0" fontId="23" fillId="2" borderId="3" xfId="0" applyFont="1" applyFill="1" applyBorder="1" applyAlignment="1">
      <alignment horizontal="left" vertical="top" wrapText="1"/>
    </xf>
    <xf numFmtId="0" fontId="21" fillId="7" borderId="0" xfId="0" applyFont="1" applyFill="1" applyAlignment="1">
      <alignment vertical="center"/>
    </xf>
    <xf numFmtId="0" fontId="21" fillId="0" borderId="1" xfId="0" applyFont="1" applyBorder="1" applyAlignment="1">
      <alignment horizontal="center" vertical="center"/>
    </xf>
    <xf numFmtId="0" fontId="66" fillId="0" borderId="12" xfId="0" applyFont="1" applyBorder="1" applyAlignment="1">
      <alignment horizontal="left" vertical="center" wrapText="1"/>
    </xf>
    <xf numFmtId="0" fontId="69" fillId="0" borderId="0" xfId="0" applyFont="1" applyAlignment="1">
      <alignment horizontal="left" vertical="top" wrapText="1"/>
    </xf>
    <xf numFmtId="0" fontId="65" fillId="0" borderId="1" xfId="0" applyFont="1" applyBorder="1" applyAlignment="1">
      <alignment horizontal="left" vertical="top" wrapText="1"/>
    </xf>
    <xf numFmtId="0" fontId="66" fillId="0" borderId="12" xfId="0" applyFont="1" applyBorder="1" applyAlignment="1">
      <alignment horizontal="left" vertical="center"/>
    </xf>
    <xf numFmtId="0" fontId="70" fillId="42" borderId="1" xfId="0" applyFont="1" applyFill="1" applyBorder="1" applyAlignment="1">
      <alignment horizontal="center" vertical="center" wrapText="1" readingOrder="1"/>
    </xf>
    <xf numFmtId="0" fontId="70" fillId="42" borderId="1" xfId="0" applyFont="1" applyFill="1" applyBorder="1" applyAlignment="1">
      <alignment horizontal="justify" vertical="top" wrapText="1" readingOrder="1"/>
    </xf>
    <xf numFmtId="0" fontId="71" fillId="45" borderId="1" xfId="5" applyFont="1" applyFill="1" applyBorder="1" applyAlignment="1">
      <alignment vertical="center"/>
    </xf>
    <xf numFmtId="49" fontId="72" fillId="43" borderId="6" xfId="16" applyFont="1" applyFill="1" applyBorder="1" applyProtection="1">
      <alignment horizontal="left" vertical="center"/>
      <protection locked="0"/>
    </xf>
    <xf numFmtId="0" fontId="72" fillId="43" borderId="6" xfId="16" applyNumberFormat="1" applyFont="1" applyFill="1" applyBorder="1" applyAlignment="1" applyProtection="1">
      <alignment horizontal="center" vertical="center"/>
      <protection locked="0"/>
    </xf>
    <xf numFmtId="49" fontId="72" fillId="43" borderId="1" xfId="16" applyFont="1" applyFill="1" applyBorder="1" applyProtection="1">
      <alignment horizontal="left" vertical="center"/>
      <protection locked="0"/>
    </xf>
    <xf numFmtId="0" fontId="72" fillId="43" borderId="1" xfId="16" applyNumberFormat="1" applyFont="1" applyFill="1" applyBorder="1" applyAlignment="1" applyProtection="1">
      <alignment horizontal="center" vertical="center"/>
      <protection locked="0"/>
    </xf>
    <xf numFmtId="0" fontId="73" fillId="0" borderId="0" xfId="0" applyFont="1" applyAlignment="1">
      <alignment vertical="center"/>
    </xf>
    <xf numFmtId="0" fontId="72" fillId="44" borderId="1" xfId="15" applyFont="1" applyFill="1" applyBorder="1" applyAlignment="1" applyProtection="1">
      <alignment horizontal="center" vertical="center" wrapText="1"/>
    </xf>
    <xf numFmtId="42" fontId="72" fillId="44" borderId="1" xfId="18" applyFont="1" applyFill="1" applyBorder="1" applyAlignment="1" applyProtection="1">
      <alignment horizontal="center" vertical="center" wrapText="1"/>
    </xf>
    <xf numFmtId="42" fontId="72" fillId="46" borderId="1" xfId="18" applyFont="1" applyFill="1" applyBorder="1" applyAlignment="1">
      <alignment horizontal="center" vertical="center" wrapText="1" readingOrder="1"/>
    </xf>
    <xf numFmtId="42" fontId="72" fillId="44" borderId="20" xfId="18" applyFont="1" applyFill="1" applyBorder="1" applyAlignment="1" applyProtection="1">
      <alignment horizontal="center" vertical="center" wrapText="1"/>
    </xf>
    <xf numFmtId="0" fontId="72" fillId="44" borderId="21" xfId="15" applyFont="1" applyFill="1" applyBorder="1" applyAlignment="1" applyProtection="1">
      <alignment horizontal="center" vertical="center" wrapText="1"/>
    </xf>
    <xf numFmtId="0" fontId="72" fillId="44" borderId="5" xfId="15" applyFont="1" applyFill="1" applyBorder="1" applyAlignment="1" applyProtection="1">
      <alignment horizontal="center" vertical="center" wrapText="1"/>
    </xf>
    <xf numFmtId="42" fontId="72" fillId="44" borderId="5" xfId="18" applyFont="1" applyFill="1" applyBorder="1" applyAlignment="1" applyProtection="1">
      <alignment horizontal="center" vertical="center" wrapText="1"/>
    </xf>
    <xf numFmtId="42" fontId="72" fillId="44" borderId="22" xfId="18" applyFont="1" applyFill="1" applyBorder="1" applyAlignment="1" applyProtection="1">
      <alignment horizontal="center" vertical="center" wrapText="1"/>
    </xf>
    <xf numFmtId="0" fontId="72" fillId="44" borderId="6" xfId="15" applyFont="1" applyFill="1" applyBorder="1" applyAlignment="1" applyProtection="1">
      <alignment horizontal="center" vertical="center" wrapText="1"/>
    </xf>
    <xf numFmtId="42" fontId="72" fillId="44" borderId="6" xfId="18" applyFont="1" applyFill="1" applyBorder="1" applyAlignment="1" applyProtection="1">
      <alignment horizontal="center" vertical="center" wrapText="1"/>
    </xf>
    <xf numFmtId="42" fontId="72" fillId="44" borderId="51" xfId="18" applyFont="1" applyFill="1" applyBorder="1" applyAlignment="1" applyProtection="1">
      <alignment horizontal="center" vertical="center" wrapText="1"/>
    </xf>
    <xf numFmtId="0" fontId="70" fillId="42" borderId="115" xfId="0" applyFont="1" applyFill="1" applyBorder="1" applyAlignment="1">
      <alignment horizontal="center" vertical="center" wrapText="1" readingOrder="1"/>
    </xf>
    <xf numFmtId="0" fontId="70" fillId="42" borderId="6" xfId="0" applyFont="1" applyFill="1" applyBorder="1" applyAlignment="1">
      <alignment horizontal="center" vertical="center" wrapText="1" readingOrder="1"/>
    </xf>
    <xf numFmtId="0" fontId="61" fillId="41" borderId="28" xfId="15" applyFont="1" applyBorder="1" applyAlignment="1" applyProtection="1">
      <alignment horizontal="center" vertical="center" wrapText="1"/>
    </xf>
    <xf numFmtId="0" fontId="61" fillId="41" borderId="30" xfId="15" applyFont="1" applyBorder="1" applyAlignment="1" applyProtection="1">
      <alignment horizontal="center" vertical="center" wrapText="1"/>
    </xf>
    <xf numFmtId="42" fontId="72" fillId="46" borderId="6" xfId="18" applyFont="1" applyFill="1" applyBorder="1" applyAlignment="1">
      <alignment horizontal="center" vertical="center" wrapText="1" readingOrder="1"/>
    </xf>
    <xf numFmtId="0" fontId="74" fillId="43" borderId="28" xfId="15" applyFont="1" applyFill="1" applyBorder="1" applyAlignment="1" applyProtection="1">
      <alignment horizontal="center" vertical="center" wrapText="1"/>
    </xf>
    <xf numFmtId="0" fontId="74" fillId="43" borderId="29" xfId="15" applyFont="1" applyFill="1" applyBorder="1" applyAlignment="1" applyProtection="1">
      <alignment horizontal="center" vertical="center" wrapText="1"/>
    </xf>
    <xf numFmtId="0" fontId="74" fillId="43" borderId="30" xfId="15" applyFont="1" applyFill="1" applyBorder="1" applyAlignment="1" applyProtection="1">
      <alignment horizontal="center" vertical="center" wrapText="1"/>
    </xf>
    <xf numFmtId="49" fontId="72" fillId="43" borderId="31" xfId="16" applyFont="1" applyFill="1" applyBorder="1" applyProtection="1">
      <alignment horizontal="left" vertical="center"/>
      <protection locked="0"/>
    </xf>
    <xf numFmtId="42" fontId="72" fillId="46" borderId="51" xfId="18" applyFont="1" applyFill="1" applyBorder="1" applyAlignment="1">
      <alignment horizontal="center" vertical="center" wrapText="1" readingOrder="1"/>
    </xf>
    <xf numFmtId="42" fontId="72" fillId="46" borderId="20" xfId="18" applyFont="1" applyFill="1" applyBorder="1" applyAlignment="1">
      <alignment horizontal="center" vertical="center" wrapText="1" readingOrder="1"/>
    </xf>
    <xf numFmtId="0" fontId="72" fillId="43" borderId="21" xfId="0" applyFont="1" applyFill="1" applyBorder="1" applyAlignment="1">
      <alignment vertical="center"/>
    </xf>
    <xf numFmtId="0" fontId="72" fillId="43" borderId="5" xfId="0" applyFont="1" applyFill="1" applyBorder="1" applyAlignment="1">
      <alignment horizontal="center" vertical="center"/>
    </xf>
    <xf numFmtId="0" fontId="72" fillId="43" borderId="5" xfId="0" applyFont="1" applyFill="1" applyBorder="1" applyAlignment="1">
      <alignment vertical="center"/>
    </xf>
    <xf numFmtId="42" fontId="72" fillId="43" borderId="5" xfId="18" applyFont="1" applyFill="1" applyBorder="1" applyAlignment="1">
      <alignment vertical="center"/>
    </xf>
    <xf numFmtId="42" fontId="72" fillId="43" borderId="22" xfId="18" applyFont="1" applyFill="1" applyBorder="1" applyAlignment="1">
      <alignment vertical="center"/>
    </xf>
    <xf numFmtId="0" fontId="70" fillId="42" borderId="19" xfId="0" applyFont="1" applyFill="1" applyBorder="1" applyAlignment="1">
      <alignment horizontal="center" vertical="center" wrapText="1" readingOrder="1"/>
    </xf>
    <xf numFmtId="0" fontId="70" fillId="42" borderId="20" xfId="0" applyFont="1" applyFill="1" applyBorder="1" applyAlignment="1">
      <alignment horizontal="justify" vertical="top" wrapText="1" readingOrder="1"/>
    </xf>
    <xf numFmtId="0" fontId="70" fillId="42" borderId="21" xfId="0" applyFont="1" applyFill="1" applyBorder="1" applyAlignment="1">
      <alignment horizontal="center" vertical="center" wrapText="1" readingOrder="1"/>
    </xf>
    <xf numFmtId="0" fontId="70" fillId="42" borderId="5" xfId="0" applyFont="1" applyFill="1" applyBorder="1" applyAlignment="1">
      <alignment horizontal="center" vertical="center" wrapText="1" readingOrder="1"/>
    </xf>
    <xf numFmtId="0" fontId="71" fillId="45" borderId="5" xfId="5" applyFont="1" applyFill="1" applyBorder="1" applyAlignment="1">
      <alignment vertical="center"/>
    </xf>
    <xf numFmtId="0" fontId="70" fillId="42" borderId="5" xfId="0" applyFont="1" applyFill="1" applyBorder="1" applyAlignment="1">
      <alignment horizontal="justify" vertical="top" wrapText="1" readingOrder="1"/>
    </xf>
    <xf numFmtId="0" fontId="70" fillId="42" borderId="22" xfId="0" applyFont="1" applyFill="1" applyBorder="1" applyAlignment="1">
      <alignment horizontal="justify" vertical="top" wrapText="1" readingOrder="1"/>
    </xf>
    <xf numFmtId="0" fontId="70" fillId="42" borderId="31" xfId="0" applyFont="1" applyFill="1" applyBorder="1" applyAlignment="1">
      <alignment horizontal="center" vertical="center" wrapText="1" readingOrder="1"/>
    </xf>
    <xf numFmtId="0" fontId="70" fillId="42" borderId="51" xfId="0" applyFont="1" applyFill="1" applyBorder="1" applyAlignment="1">
      <alignment horizontal="center" vertical="center" wrapText="1" readingOrder="1"/>
    </xf>
    <xf numFmtId="0" fontId="70" fillId="42" borderId="20" xfId="0" applyFont="1" applyFill="1" applyBorder="1" applyAlignment="1">
      <alignment horizontal="center" vertical="center" wrapText="1" readingOrder="1"/>
    </xf>
    <xf numFmtId="0" fontId="70" fillId="42" borderId="22" xfId="0" applyFont="1" applyFill="1" applyBorder="1" applyAlignment="1">
      <alignment horizontal="center" vertical="center" wrapText="1" readingOrder="1"/>
    </xf>
    <xf numFmtId="0" fontId="71" fillId="45" borderId="6" xfId="5" applyFont="1" applyFill="1" applyBorder="1" applyAlignment="1">
      <alignment vertical="center"/>
    </xf>
    <xf numFmtId="0" fontId="70" fillId="42" borderId="6" xfId="0" applyFont="1" applyFill="1" applyBorder="1" applyAlignment="1">
      <alignment horizontal="justify" vertical="top" wrapText="1" readingOrder="1"/>
    </xf>
    <xf numFmtId="0" fontId="70" fillId="42" borderId="51" xfId="0" applyFont="1" applyFill="1" applyBorder="1" applyAlignment="1">
      <alignment horizontal="justify" vertical="top" wrapText="1" readingOrder="1"/>
    </xf>
    <xf numFmtId="0" fontId="61" fillId="41" borderId="29" xfId="15" applyFont="1" applyBorder="1" applyAlignment="1" applyProtection="1">
      <alignment horizontal="center" vertical="center" wrapText="1"/>
    </xf>
    <xf numFmtId="0" fontId="74" fillId="44" borderId="28" xfId="15" applyFont="1" applyFill="1" applyBorder="1" applyAlignment="1" applyProtection="1">
      <alignment horizontal="center" vertical="center" wrapText="1"/>
    </xf>
    <xf numFmtId="0" fontId="74" fillId="44" borderId="29" xfId="15" applyFont="1" applyFill="1" applyBorder="1" applyAlignment="1" applyProtection="1">
      <alignment horizontal="center" vertical="center" wrapText="1"/>
    </xf>
    <xf numFmtId="0" fontId="74" fillId="44" borderId="30" xfId="15" applyFont="1" applyFill="1" applyBorder="1" applyAlignment="1" applyProtection="1">
      <alignment horizontal="center" vertical="center" wrapText="1"/>
    </xf>
    <xf numFmtId="49" fontId="72" fillId="44" borderId="31" xfId="15" applyNumberFormat="1" applyFont="1" applyFill="1" applyBorder="1" applyAlignment="1" applyProtection="1">
      <alignment horizontal="center" vertical="center" wrapText="1"/>
    </xf>
    <xf numFmtId="0" fontId="21" fillId="2" borderId="9" xfId="0" applyFont="1" applyFill="1" applyBorder="1" applyAlignment="1">
      <alignment horizontal="center" vertical="center"/>
    </xf>
    <xf numFmtId="0" fontId="65" fillId="2" borderId="92" xfId="0" applyFont="1" applyFill="1" applyBorder="1" applyAlignment="1">
      <alignment horizontal="left" vertical="center" wrapText="1"/>
    </xf>
    <xf numFmtId="0" fontId="65" fillId="2" borderId="9" xfId="0" applyFont="1" applyFill="1" applyBorder="1" applyAlignment="1">
      <alignment horizontal="left" vertical="center" wrapText="1"/>
    </xf>
    <xf numFmtId="0" fontId="65" fillId="2" borderId="90" xfId="0" applyFont="1" applyFill="1" applyBorder="1" applyAlignment="1">
      <alignment horizontal="left" vertical="center" wrapText="1"/>
    </xf>
    <xf numFmtId="166" fontId="66" fillId="2" borderId="33" xfId="0" applyNumberFormat="1" applyFont="1" applyFill="1" applyBorder="1" applyAlignment="1">
      <alignment horizontal="center" vertical="center" wrapText="1"/>
    </xf>
    <xf numFmtId="166" fontId="66" fillId="2" borderId="9" xfId="0" applyNumberFormat="1" applyFont="1" applyFill="1" applyBorder="1" applyAlignment="1">
      <alignment horizontal="center" vertical="center" wrapText="1"/>
    </xf>
    <xf numFmtId="0" fontId="65" fillId="2" borderId="50" xfId="0" applyFont="1" applyFill="1" applyBorder="1" applyAlignment="1">
      <alignment horizontal="center" vertical="center"/>
    </xf>
    <xf numFmtId="0" fontId="65" fillId="2" borderId="28" xfId="0" applyFont="1" applyFill="1" applyBorder="1" applyAlignment="1">
      <alignment horizontal="left" vertical="top"/>
    </xf>
    <xf numFmtId="0" fontId="65" fillId="2" borderId="29" xfId="0" applyFont="1" applyFill="1" applyBorder="1" applyAlignment="1">
      <alignment horizontal="left" vertical="top"/>
    </xf>
    <xf numFmtId="0" fontId="65" fillId="2" borderId="5" xfId="0" applyFont="1" applyFill="1" applyBorder="1" applyAlignment="1">
      <alignment horizontal="left" vertical="top"/>
    </xf>
    <xf numFmtId="0" fontId="21" fillId="0" borderId="6" xfId="0" applyFont="1" applyBorder="1" applyAlignment="1">
      <alignment horizontal="center" vertical="center"/>
    </xf>
    <xf numFmtId="0" fontId="65" fillId="0" borderId="6" xfId="0" applyFont="1" applyBorder="1" applyAlignment="1">
      <alignment horizontal="justify" vertical="center" wrapText="1"/>
    </xf>
    <xf numFmtId="0" fontId="65" fillId="0" borderId="6" xfId="0" applyFont="1" applyBorder="1" applyAlignment="1">
      <alignment horizontal="left" vertical="top"/>
    </xf>
    <xf numFmtId="14" fontId="65" fillId="0" borderId="33" xfId="0" applyNumberFormat="1" applyFont="1" applyBorder="1" applyAlignment="1">
      <alignment horizontal="left" vertical="top"/>
    </xf>
    <xf numFmtId="0" fontId="65" fillId="0" borderId="9" xfId="0" applyFont="1" applyBorder="1" applyAlignment="1">
      <alignment horizontal="left" vertical="center" wrapText="1"/>
    </xf>
    <xf numFmtId="0" fontId="0" fillId="0" borderId="89" xfId="0" applyBorder="1" applyAlignment="1">
      <alignment wrapText="1"/>
    </xf>
    <xf numFmtId="0" fontId="65" fillId="0" borderId="1" xfId="0" applyFont="1" applyBorder="1" applyAlignment="1">
      <alignment horizontal="justify" vertical="top" wrapText="1"/>
    </xf>
    <xf numFmtId="0" fontId="65" fillId="0" borderId="1" xfId="0" applyFont="1" applyBorder="1" applyAlignment="1">
      <alignment horizontal="justify" vertical="center" wrapText="1"/>
    </xf>
    <xf numFmtId="0" fontId="65" fillId="0" borderId="51" xfId="0" applyFont="1" applyBorder="1" applyAlignment="1">
      <alignment horizontal="left" vertical="top"/>
    </xf>
    <xf numFmtId="0" fontId="66" fillId="0" borderId="44" xfId="0" applyFont="1" applyBorder="1" applyAlignment="1">
      <alignment horizontal="left" vertical="center" wrapText="1"/>
    </xf>
    <xf numFmtId="0" fontId="65" fillId="0" borderId="1" xfId="0" applyFont="1" applyBorder="1" applyAlignment="1">
      <alignment vertical="center" wrapText="1"/>
    </xf>
    <xf numFmtId="0" fontId="65" fillId="0" borderId="19" xfId="0" applyFont="1" applyBorder="1" applyAlignment="1">
      <alignment horizontal="center" vertical="center" wrapText="1"/>
    </xf>
    <xf numFmtId="0" fontId="65" fillId="0" borderId="1" xfId="0" applyFont="1" applyBorder="1" applyAlignment="1">
      <alignment horizontal="center" vertical="center" wrapText="1"/>
    </xf>
    <xf numFmtId="0" fontId="23" fillId="20" borderId="3" xfId="0" applyFont="1" applyFill="1" applyBorder="1" applyAlignment="1">
      <alignment horizontal="left" vertical="top" wrapText="1"/>
    </xf>
    <xf numFmtId="0" fontId="21" fillId="0" borderId="38" xfId="0" applyFont="1" applyBorder="1" applyAlignment="1">
      <alignment horizontal="left" vertical="top" wrapText="1"/>
    </xf>
    <xf numFmtId="0" fontId="65" fillId="23" borderId="116" xfId="0" applyFont="1" applyFill="1" applyBorder="1" applyAlignment="1">
      <alignment horizontal="left" vertical="top"/>
    </xf>
    <xf numFmtId="0" fontId="21" fillId="0" borderId="8" xfId="0" applyFont="1" applyBorder="1" applyAlignment="1">
      <alignment horizontal="left" vertical="top" wrapText="1"/>
    </xf>
    <xf numFmtId="0" fontId="65" fillId="47" borderId="116" xfId="0" applyFont="1" applyFill="1" applyBorder="1" applyAlignment="1">
      <alignment horizontal="left" vertical="top"/>
    </xf>
    <xf numFmtId="0" fontId="66" fillId="0" borderId="16" xfId="0" applyFont="1" applyBorder="1" applyAlignment="1">
      <alignment horizontal="left" vertical="top"/>
    </xf>
    <xf numFmtId="0" fontId="66" fillId="0" borderId="17" xfId="0" applyFont="1" applyBorder="1" applyAlignment="1">
      <alignment horizontal="left" vertical="top"/>
    </xf>
    <xf numFmtId="0" fontId="66" fillId="0" borderId="18" xfId="0" applyFont="1" applyBorder="1" applyAlignment="1">
      <alignment horizontal="left" vertical="top"/>
    </xf>
    <xf numFmtId="0" fontId="75" fillId="0" borderId="92" xfId="0" applyFont="1" applyBorder="1"/>
    <xf numFmtId="0" fontId="75" fillId="0" borderId="9" xfId="0" applyFont="1" applyBorder="1"/>
    <xf numFmtId="0" fontId="75" fillId="0" borderId="9" xfId="0" applyFont="1" applyBorder="1" applyAlignment="1">
      <alignment horizontal="center"/>
    </xf>
    <xf numFmtId="0" fontId="75" fillId="0" borderId="9" xfId="0" applyFont="1" applyBorder="1" applyAlignment="1">
      <alignment horizontal="center" vertical="center" wrapText="1"/>
    </xf>
    <xf numFmtId="0" fontId="75" fillId="0" borderId="90" xfId="0" applyFont="1" applyBorder="1" applyAlignment="1">
      <alignment horizontal="center" vertical="center" wrapText="1"/>
    </xf>
    <xf numFmtId="0" fontId="75" fillId="0" borderId="1" xfId="0" applyFont="1" applyBorder="1" applyAlignment="1">
      <alignment horizontal="center"/>
    </xf>
    <xf numFmtId="0" fontId="75" fillId="0" borderId="44" xfId="0" applyFont="1" applyBorder="1" applyAlignment="1">
      <alignment horizontal="center" vertical="center" wrapText="1"/>
    </xf>
    <xf numFmtId="0" fontId="75" fillId="0" borderId="1" xfId="0" applyFont="1" applyBorder="1" applyAlignment="1">
      <alignment horizontal="center" vertical="center"/>
    </xf>
    <xf numFmtId="0" fontId="65" fillId="0" borderId="31" xfId="0" applyFont="1" applyBorder="1" applyAlignment="1">
      <alignment horizontal="center" vertical="center"/>
    </xf>
    <xf numFmtId="0" fontId="65" fillId="0" borderId="6" xfId="0" applyFont="1" applyBorder="1" applyAlignment="1">
      <alignment horizontal="center" vertical="center"/>
    </xf>
    <xf numFmtId="0" fontId="65" fillId="0" borderId="93" xfId="0" applyFont="1" applyBorder="1" applyAlignment="1">
      <alignment horizontal="center" vertical="center"/>
    </xf>
    <xf numFmtId="0" fontId="0" fillId="25" borderId="1" xfId="0" applyFill="1" applyBorder="1" applyAlignment="1">
      <alignment vertical="center" wrapText="1"/>
    </xf>
    <xf numFmtId="0" fontId="65" fillId="26" borderId="44" xfId="0" applyFont="1" applyFill="1" applyBorder="1" applyAlignment="1">
      <alignment horizontal="left" vertical="top"/>
    </xf>
    <xf numFmtId="0" fontId="65" fillId="26" borderId="20" xfId="0" applyFont="1" applyFill="1" applyBorder="1" applyAlignment="1">
      <alignment horizontal="left" vertical="top"/>
    </xf>
    <xf numFmtId="0" fontId="65" fillId="26" borderId="1" xfId="0" applyFont="1" applyFill="1" applyBorder="1" applyAlignment="1">
      <alignment horizontal="left" vertical="top"/>
    </xf>
    <xf numFmtId="0" fontId="65" fillId="26" borderId="9" xfId="0" applyFont="1" applyFill="1" applyBorder="1" applyAlignment="1">
      <alignment horizontal="left" vertical="top"/>
    </xf>
    <xf numFmtId="0" fontId="65" fillId="26" borderId="6" xfId="0" applyFont="1" applyFill="1" applyBorder="1" applyAlignment="1">
      <alignment horizontal="left" vertical="top"/>
    </xf>
    <xf numFmtId="0" fontId="65" fillId="26" borderId="51" xfId="0" applyFont="1" applyFill="1" applyBorder="1" applyAlignment="1">
      <alignment horizontal="left" vertical="top"/>
    </xf>
    <xf numFmtId="0" fontId="66" fillId="26" borderId="17" xfId="0" applyFont="1" applyFill="1" applyBorder="1" applyAlignment="1">
      <alignment horizontal="left" vertical="top"/>
    </xf>
    <xf numFmtId="0" fontId="65" fillId="17" borderId="19" xfId="0" applyFont="1" applyFill="1" applyBorder="1" applyAlignment="1">
      <alignment horizontal="left" vertical="top"/>
    </xf>
    <xf numFmtId="14" fontId="65" fillId="17" borderId="19" xfId="0" applyNumberFormat="1" applyFont="1" applyFill="1" applyBorder="1" applyAlignment="1">
      <alignment horizontal="left" vertical="top"/>
    </xf>
    <xf numFmtId="0" fontId="65" fillId="3" borderId="1" xfId="0" applyFont="1" applyFill="1" applyBorder="1" applyAlignment="1">
      <alignment horizontal="left" vertical="top"/>
    </xf>
    <xf numFmtId="0" fontId="65" fillId="3" borderId="9" xfId="0" applyFont="1" applyFill="1" applyBorder="1" applyAlignment="1">
      <alignment horizontal="left" vertical="top"/>
    </xf>
    <xf numFmtId="0" fontId="65" fillId="17" borderId="1" xfId="0" applyFont="1" applyFill="1" applyBorder="1" applyAlignment="1">
      <alignment horizontal="left" vertical="top"/>
    </xf>
    <xf numFmtId="0" fontId="65" fillId="17" borderId="41" xfId="0" applyFont="1" applyFill="1" applyBorder="1" applyAlignment="1">
      <alignment horizontal="left" vertical="top"/>
    </xf>
    <xf numFmtId="0" fontId="65" fillId="17" borderId="44" xfId="0" applyFont="1" applyFill="1" applyBorder="1" applyAlignment="1">
      <alignment horizontal="left" vertical="top"/>
    </xf>
    <xf numFmtId="0" fontId="65" fillId="26" borderId="45" xfId="0" applyFont="1" applyFill="1" applyBorder="1" applyAlignment="1">
      <alignment horizontal="left" vertical="top"/>
    </xf>
    <xf numFmtId="0" fontId="65" fillId="17" borderId="117" xfId="0" applyFont="1" applyFill="1" applyBorder="1" applyAlignment="1">
      <alignment horizontal="left" vertical="top"/>
    </xf>
    <xf numFmtId="0" fontId="65" fillId="17" borderId="90" xfId="0" applyFont="1" applyFill="1" applyBorder="1" applyAlignment="1">
      <alignment horizontal="left" vertical="top"/>
    </xf>
    <xf numFmtId="0" fontId="65" fillId="26" borderId="90" xfId="0" applyFont="1" applyFill="1" applyBorder="1" applyAlignment="1">
      <alignment horizontal="left" vertical="top"/>
    </xf>
    <xf numFmtId="0" fontId="65" fillId="17" borderId="93" xfId="0" applyFont="1" applyFill="1" applyBorder="1" applyAlignment="1">
      <alignment horizontal="left" vertical="top"/>
    </xf>
    <xf numFmtId="0" fontId="65" fillId="26" borderId="93" xfId="0" applyFont="1" applyFill="1" applyBorder="1" applyAlignment="1">
      <alignment horizontal="left" vertical="top"/>
    </xf>
    <xf numFmtId="0" fontId="23" fillId="20" borderId="1" xfId="0" applyFont="1" applyFill="1" applyBorder="1" applyAlignment="1">
      <alignment horizontal="left" vertical="top" wrapText="1"/>
    </xf>
    <xf numFmtId="0" fontId="65" fillId="20" borderId="117" xfId="0" applyFont="1" applyFill="1" applyBorder="1" applyAlignment="1">
      <alignment horizontal="left" vertical="top"/>
    </xf>
    <xf numFmtId="0" fontId="79" fillId="17" borderId="112" xfId="0" applyFont="1" applyFill="1" applyBorder="1" applyAlignment="1">
      <alignment horizontal="left" vertical="top"/>
    </xf>
    <xf numFmtId="14" fontId="65" fillId="17" borderId="33" xfId="0" applyNumberFormat="1" applyFont="1" applyFill="1" applyBorder="1" applyAlignment="1">
      <alignment horizontal="left" vertical="top"/>
    </xf>
    <xf numFmtId="0" fontId="65" fillId="17" borderId="31" xfId="0" applyFont="1" applyFill="1" applyBorder="1" applyAlignment="1">
      <alignment horizontal="left" vertical="top"/>
    </xf>
    <xf numFmtId="0" fontId="65" fillId="17" borderId="6" xfId="0" applyFont="1" applyFill="1" applyBorder="1" applyAlignment="1">
      <alignment horizontal="left" vertical="top"/>
    </xf>
    <xf numFmtId="0" fontId="65" fillId="20" borderId="9" xfId="0" applyFont="1" applyFill="1" applyBorder="1" applyAlignment="1">
      <alignment horizontal="left" vertical="top"/>
    </xf>
    <xf numFmtId="0" fontId="65" fillId="20" borderId="1" xfId="0" applyFont="1" applyFill="1" applyBorder="1" applyAlignment="1">
      <alignment horizontal="left" vertical="top"/>
    </xf>
    <xf numFmtId="0" fontId="65" fillId="20" borderId="20" xfId="0" applyFont="1" applyFill="1" applyBorder="1" applyAlignment="1">
      <alignment horizontal="left" vertical="top"/>
    </xf>
    <xf numFmtId="0" fontId="21" fillId="21" borderId="1" xfId="0" applyFont="1" applyFill="1" applyBorder="1" applyAlignment="1">
      <alignment horizontal="center" vertical="center"/>
    </xf>
    <xf numFmtId="0" fontId="65" fillId="0" borderId="12" xfId="0" applyFont="1" applyFill="1" applyBorder="1" applyAlignment="1">
      <alignment horizontal="justify" vertical="center" wrapText="1"/>
    </xf>
    <xf numFmtId="0" fontId="66" fillId="0" borderId="115" xfId="0" applyFont="1" applyBorder="1" applyAlignment="1">
      <alignment horizontal="left" vertical="center"/>
    </xf>
    <xf numFmtId="0" fontId="66" fillId="0" borderId="26" xfId="0" applyFont="1" applyBorder="1" applyAlignment="1">
      <alignment horizontal="left" vertical="center"/>
    </xf>
    <xf numFmtId="0" fontId="67" fillId="24" borderId="106" xfId="0" applyFont="1" applyFill="1" applyBorder="1" applyAlignment="1">
      <alignment horizontal="center" vertical="top" wrapText="1"/>
    </xf>
    <xf numFmtId="0" fontId="66" fillId="17" borderId="26" xfId="0" applyFont="1" applyFill="1" applyBorder="1" applyAlignment="1">
      <alignment horizontal="left" vertical="center" wrapText="1"/>
    </xf>
    <xf numFmtId="0" fontId="66" fillId="0" borderId="12" xfId="0" applyFont="1" applyFill="1" applyBorder="1" applyAlignment="1">
      <alignment horizontal="left" vertical="center" wrapText="1"/>
    </xf>
    <xf numFmtId="0" fontId="66" fillId="0" borderId="26" xfId="0" applyFont="1" applyBorder="1" applyAlignment="1">
      <alignment horizontal="left" vertical="center" wrapText="1"/>
    </xf>
    <xf numFmtId="0" fontId="66" fillId="0" borderId="25" xfId="0" applyFont="1" applyBorder="1" applyAlignment="1">
      <alignment horizontal="left" vertical="center"/>
    </xf>
    <xf numFmtId="0" fontId="76" fillId="17" borderId="26" xfId="0" applyFont="1" applyFill="1" applyBorder="1" applyAlignment="1">
      <alignment horizontal="justify" vertical="center" wrapText="1"/>
    </xf>
    <xf numFmtId="0" fontId="66" fillId="17" borderId="26" xfId="0" applyFont="1" applyFill="1" applyBorder="1" applyAlignment="1">
      <alignment horizontal="justify" vertical="center" wrapText="1"/>
    </xf>
    <xf numFmtId="0" fontId="66" fillId="17" borderId="27" xfId="0" applyFont="1" applyFill="1" applyBorder="1" applyAlignment="1">
      <alignment horizontal="left" vertical="center" wrapText="1"/>
    </xf>
    <xf numFmtId="0" fontId="66" fillId="17" borderId="25" xfId="0" applyFont="1" applyFill="1" applyBorder="1" applyAlignment="1">
      <alignment horizontal="left" vertical="center" wrapText="1"/>
    </xf>
    <xf numFmtId="0" fontId="66" fillId="3" borderId="26" xfId="0" applyFont="1" applyFill="1" applyBorder="1" applyAlignment="1">
      <alignment horizontal="left" vertical="center" wrapText="1"/>
    </xf>
    <xf numFmtId="0" fontId="66" fillId="3" borderId="26" xfId="0" applyFont="1" applyFill="1" applyBorder="1" applyAlignment="1">
      <alignment horizontal="justify" vertical="justify" wrapText="1"/>
    </xf>
    <xf numFmtId="0" fontId="68" fillId="17" borderId="26" xfId="0" applyFont="1" applyFill="1" applyBorder="1" applyAlignment="1">
      <alignment horizontal="left" vertical="center" wrapText="1"/>
    </xf>
    <xf numFmtId="0" fontId="79" fillId="0" borderId="44" xfId="0" applyFont="1" applyBorder="1" applyAlignment="1">
      <alignment horizontal="left" vertical="center" wrapText="1"/>
    </xf>
    <xf numFmtId="14" fontId="65" fillId="20" borderId="33" xfId="0" applyNumberFormat="1" applyFont="1" applyFill="1" applyBorder="1" applyAlignment="1">
      <alignment horizontal="left" vertical="top"/>
    </xf>
    <xf numFmtId="0" fontId="66" fillId="0" borderId="26" xfId="0" applyFont="1" applyBorder="1" applyAlignment="1">
      <alignment horizontal="justify" vertical="top"/>
    </xf>
    <xf numFmtId="0" fontId="66" fillId="3" borderId="115" xfId="0" applyFont="1" applyFill="1" applyBorder="1" applyAlignment="1">
      <alignment horizontal="left" vertical="center" wrapText="1"/>
    </xf>
    <xf numFmtId="0" fontId="76" fillId="3" borderId="26" xfId="0" applyFont="1" applyFill="1" applyBorder="1" applyAlignment="1">
      <alignment horizontal="justify" vertical="center" wrapText="1"/>
    </xf>
    <xf numFmtId="0" fontId="65" fillId="23" borderId="9" xfId="0" applyFont="1" applyFill="1" applyBorder="1" applyAlignment="1">
      <alignment horizontal="left" vertical="top"/>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14" fillId="11" borderId="38" xfId="0" applyFont="1" applyFill="1" applyBorder="1" applyAlignment="1">
      <alignment horizontal="center" vertical="center" wrapText="1"/>
    </xf>
    <xf numFmtId="0" fontId="61" fillId="24" borderId="1" xfId="0" applyFont="1" applyFill="1" applyBorder="1" applyAlignment="1">
      <alignment horizontal="center" vertical="top" wrapText="1"/>
    </xf>
    <xf numFmtId="0" fontId="14" fillId="11" borderId="40" xfId="0" applyFont="1" applyFill="1" applyBorder="1" applyAlignment="1">
      <alignment horizontal="center" vertical="center" wrapText="1"/>
    </xf>
    <xf numFmtId="0" fontId="14" fillId="11" borderId="32"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1" fillId="7" borderId="0" xfId="0" applyFont="1" applyFill="1" applyAlignment="1">
      <alignment horizontal="righ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7" xfId="0" applyFont="1" applyBorder="1" applyAlignment="1">
      <alignment horizontal="left" vertical="center" wrapText="1"/>
    </xf>
    <xf numFmtId="0" fontId="17" fillId="19" borderId="19"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44" fillId="29" borderId="34" xfId="14" applyFont="1" applyFill="1" applyBorder="1" applyAlignment="1">
      <alignment horizontal="center" vertical="center" wrapText="1"/>
    </xf>
    <xf numFmtId="0" fontId="44" fillId="29" borderId="36" xfId="14" applyFont="1" applyFill="1" applyBorder="1" applyAlignment="1">
      <alignment horizontal="center" vertical="center" wrapText="1"/>
    </xf>
    <xf numFmtId="0" fontId="44" fillId="29" borderId="7" xfId="14" applyFont="1" applyFill="1" applyBorder="1" applyAlignment="1">
      <alignment horizontal="center" vertical="center" wrapText="1"/>
    </xf>
    <xf numFmtId="0" fontId="44" fillId="29" borderId="8" xfId="14" applyFont="1" applyFill="1" applyBorder="1" applyAlignment="1">
      <alignment horizontal="center" vertical="center" wrapText="1"/>
    </xf>
    <xf numFmtId="0" fontId="53" fillId="29" borderId="2" xfId="14" applyFont="1" applyFill="1" applyBorder="1" applyAlignment="1">
      <alignment horizontal="center" vertical="center"/>
    </xf>
    <xf numFmtId="0" fontId="53" fillId="29" borderId="38" xfId="14" applyFont="1" applyFill="1" applyBorder="1" applyAlignment="1">
      <alignment horizontal="center" vertical="center"/>
    </xf>
    <xf numFmtId="0" fontId="53" fillId="29" borderId="76" xfId="14" applyFont="1" applyFill="1" applyBorder="1" applyAlignment="1">
      <alignment horizontal="center" vertical="center"/>
    </xf>
    <xf numFmtId="0" fontId="53" fillId="29" borderId="77" xfId="14" applyFont="1" applyFill="1" applyBorder="1" applyAlignment="1">
      <alignment horizontal="center" vertical="center"/>
    </xf>
    <xf numFmtId="0" fontId="53" fillId="29" borderId="58" xfId="14" applyFont="1" applyFill="1" applyBorder="1" applyAlignment="1">
      <alignment horizontal="center" vertical="center"/>
    </xf>
    <xf numFmtId="0" fontId="44" fillId="29" borderId="35" xfId="14" applyFont="1" applyFill="1" applyBorder="1" applyAlignment="1">
      <alignment horizontal="center" vertical="center" wrapText="1"/>
    </xf>
    <xf numFmtId="0" fontId="44" fillId="29" borderId="13" xfId="14" applyFont="1" applyFill="1" applyBorder="1" applyAlignment="1">
      <alignment horizontal="center" vertical="center" wrapText="1"/>
    </xf>
    <xf numFmtId="0" fontId="44" fillId="29" borderId="0" xfId="14" applyFont="1" applyFill="1" applyAlignment="1">
      <alignment horizontal="center" vertical="center" wrapText="1"/>
    </xf>
    <xf numFmtId="0" fontId="44" fillId="29" borderId="14" xfId="14" applyFont="1" applyFill="1" applyBorder="1" applyAlignment="1">
      <alignment horizontal="center" vertical="center" wrapText="1"/>
    </xf>
    <xf numFmtId="0" fontId="53" fillId="29" borderId="76" xfId="14" applyFont="1" applyFill="1" applyBorder="1" applyAlignment="1">
      <alignment horizontal="center"/>
    </xf>
    <xf numFmtId="0" fontId="43" fillId="0" borderId="78" xfId="14" applyFont="1" applyBorder="1"/>
    <xf numFmtId="0" fontId="43" fillId="0" borderId="77" xfId="14" applyFont="1" applyBorder="1"/>
    <xf numFmtId="0" fontId="44" fillId="29" borderId="83" xfId="14" applyFont="1" applyFill="1" applyBorder="1" applyAlignment="1">
      <alignment horizontal="center" vertical="center" wrapText="1"/>
    </xf>
    <xf numFmtId="0" fontId="43" fillId="0" borderId="83" xfId="14" applyFont="1" applyBorder="1"/>
    <xf numFmtId="0" fontId="44" fillId="29" borderId="81" xfId="14" applyFont="1" applyFill="1" applyBorder="1" applyAlignment="1">
      <alignment horizontal="center" vertical="center" wrapText="1"/>
    </xf>
    <xf numFmtId="0" fontId="43" fillId="0" borderId="81" xfId="14" applyFont="1" applyBorder="1"/>
    <xf numFmtId="0" fontId="44" fillId="29" borderId="79" xfId="14" applyFont="1" applyFill="1" applyBorder="1" applyAlignment="1">
      <alignment horizontal="center" vertical="center" wrapText="1"/>
    </xf>
    <xf numFmtId="0" fontId="44" fillId="29" borderId="80" xfId="14" applyFont="1" applyFill="1" applyBorder="1" applyAlignment="1">
      <alignment horizontal="center" vertical="center" wrapText="1"/>
    </xf>
    <xf numFmtId="0" fontId="43" fillId="0" borderId="70" xfId="14" applyFont="1" applyBorder="1"/>
    <xf numFmtId="0" fontId="43" fillId="0" borderId="0" xfId="14" applyFont="1"/>
    <xf numFmtId="0" fontId="43" fillId="0" borderId="82" xfId="14" applyFont="1" applyBorder="1"/>
    <xf numFmtId="14" fontId="29" fillId="0" borderId="2" xfId="14" applyNumberFormat="1" applyFont="1" applyBorder="1" applyAlignment="1">
      <alignment horizontal="center"/>
    </xf>
    <xf numFmtId="14" fontId="29" fillId="0" borderId="38" xfId="14" applyNumberFormat="1" applyFont="1" applyBorder="1" applyAlignment="1">
      <alignment horizontal="center"/>
    </xf>
    <xf numFmtId="0" fontId="29" fillId="0" borderId="56" xfId="14" applyFont="1" applyBorder="1" applyAlignment="1">
      <alignment horizontal="center" vertical="center"/>
    </xf>
    <xf numFmtId="0" fontId="43" fillId="0" borderId="63" xfId="14" applyFont="1" applyBorder="1"/>
    <xf numFmtId="0" fontId="43" fillId="0" borderId="69" xfId="14" applyFont="1" applyBorder="1"/>
    <xf numFmtId="0" fontId="53" fillId="0" borderId="57" xfId="14" applyFont="1" applyBorder="1" applyAlignment="1">
      <alignment horizontal="center" vertical="center" wrapText="1"/>
    </xf>
    <xf numFmtId="0" fontId="43" fillId="0" borderId="58" xfId="14" applyFont="1" applyBorder="1"/>
    <xf numFmtId="0" fontId="43" fillId="0" borderId="59" xfId="14" applyFont="1" applyBorder="1"/>
    <xf numFmtId="0" fontId="43" fillId="0" borderId="64" xfId="14" applyFont="1" applyBorder="1"/>
    <xf numFmtId="0" fontId="29" fillId="0" borderId="0" xfId="14" applyFont="1"/>
    <xf numFmtId="0" fontId="43" fillId="0" borderId="65" xfId="14" applyFont="1" applyBorder="1"/>
    <xf numFmtId="0" fontId="43" fillId="0" borderId="71" xfId="14" applyFont="1" applyBorder="1"/>
    <xf numFmtId="0" fontId="29" fillId="0" borderId="60" xfId="14" applyFont="1" applyBorder="1" applyAlignment="1">
      <alignment horizontal="center"/>
    </xf>
    <xf numFmtId="0" fontId="43" fillId="0" borderId="61" xfId="14" applyFont="1" applyBorder="1"/>
    <xf numFmtId="0" fontId="29" fillId="0" borderId="62" xfId="14" applyFont="1" applyBorder="1" applyAlignment="1">
      <alignment horizontal="center"/>
    </xf>
    <xf numFmtId="0" fontId="43" fillId="0" borderId="68" xfId="14" applyFont="1" applyBorder="1"/>
    <xf numFmtId="0" fontId="43" fillId="0" borderId="74" xfId="14" applyFont="1" applyBorder="1"/>
    <xf numFmtId="0" fontId="29" fillId="0" borderId="66" xfId="14" applyFont="1" applyBorder="1" applyAlignment="1">
      <alignment horizontal="center"/>
    </xf>
    <xf numFmtId="0" fontId="43" fillId="0" borderId="67" xfId="14" applyFont="1" applyBorder="1"/>
    <xf numFmtId="0" fontId="29" fillId="0" borderId="72" xfId="14" applyFont="1" applyBorder="1" applyAlignment="1">
      <alignment horizontal="center"/>
    </xf>
    <xf numFmtId="0" fontId="43" fillId="0" borderId="73" xfId="14" applyFont="1" applyBorder="1"/>
    <xf numFmtId="0" fontId="57" fillId="5" borderId="18" xfId="3" applyFont="1" applyFill="1" applyBorder="1" applyAlignment="1">
      <alignment horizontal="center" vertical="center"/>
    </xf>
    <xf numFmtId="0" fontId="57" fillId="5" borderId="20" xfId="3"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19" xfId="0"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1"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3" xfId="0" applyFont="1" applyBorder="1" applyAlignment="1">
      <alignment horizontal="center" vertical="center" wrapText="1"/>
    </xf>
    <xf numFmtId="0" fontId="7" fillId="2" borderId="16"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57" fillId="4" borderId="17" xfId="3" applyFont="1" applyFill="1" applyBorder="1" applyAlignment="1">
      <alignment horizontal="center" vertical="center"/>
    </xf>
    <xf numFmtId="0" fontId="57" fillId="4" borderId="1" xfId="3" applyFont="1" applyFill="1" applyBorder="1" applyAlignment="1">
      <alignment horizontal="center" vertical="center"/>
    </xf>
    <xf numFmtId="0" fontId="57" fillId="3" borderId="17" xfId="3" applyFont="1" applyFill="1" applyBorder="1" applyAlignment="1">
      <alignment horizontal="center" vertical="center"/>
    </xf>
    <xf numFmtId="0" fontId="57" fillId="3" borderId="1" xfId="3" applyFont="1" applyFill="1" applyBorder="1" applyAlignment="1">
      <alignment horizontal="center" vertical="center"/>
    </xf>
    <xf numFmtId="0" fontId="10" fillId="36" borderId="88" xfId="0" applyFont="1" applyFill="1" applyBorder="1" applyAlignment="1">
      <alignment horizontal="center" vertical="center" wrapText="1"/>
    </xf>
    <xf numFmtId="0" fontId="10" fillId="36" borderId="116" xfId="0" applyFont="1" applyFill="1" applyBorder="1" applyAlignment="1">
      <alignment horizontal="center" vertical="center" wrapText="1"/>
    </xf>
    <xf numFmtId="0" fontId="10" fillId="36" borderId="16"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45" fillId="11" borderId="44" xfId="0" applyFont="1" applyFill="1" applyBorder="1" applyAlignment="1">
      <alignment horizontal="center" vertical="center" wrapText="1"/>
    </xf>
    <xf numFmtId="0" fontId="45" fillId="11" borderId="45"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7" fillId="0" borderId="48" xfId="0" applyFont="1" applyBorder="1" applyAlignment="1">
      <alignment horizontal="center"/>
    </xf>
    <xf numFmtId="0" fontId="17" fillId="0" borderId="43" xfId="0" applyFont="1" applyBorder="1" applyAlignment="1">
      <alignment horizontal="center"/>
    </xf>
    <xf numFmtId="0" fontId="17" fillId="0" borderId="54" xfId="0" applyFont="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1" fillId="7" borderId="42" xfId="0" applyFont="1" applyFill="1" applyBorder="1" applyAlignment="1">
      <alignment horizontal="right" vertical="center" wrapText="1"/>
    </xf>
    <xf numFmtId="0" fontId="0" fillId="0" borderId="33" xfId="0"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3" fillId="9" borderId="15"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8" xfId="0" applyFont="1" applyFill="1" applyBorder="1" applyAlignment="1">
      <alignment horizontal="center" vertical="center"/>
    </xf>
    <xf numFmtId="0" fontId="19" fillId="7" borderId="13" xfId="0" applyFont="1" applyFill="1" applyBorder="1" applyAlignment="1">
      <alignment horizontal="left" vertical="top" wrapText="1"/>
    </xf>
    <xf numFmtId="0" fontId="19" fillId="7" borderId="0" xfId="0" applyFont="1" applyFill="1" applyAlignment="1">
      <alignment horizontal="left" vertical="top" wrapText="1"/>
    </xf>
    <xf numFmtId="0" fontId="19" fillId="7" borderId="14" xfId="0" applyFont="1" applyFill="1" applyBorder="1" applyAlignment="1">
      <alignment horizontal="left" vertical="top" wrapText="1"/>
    </xf>
    <xf numFmtId="0" fontId="3" fillId="9" borderId="13" xfId="3" applyFont="1" applyFill="1" applyBorder="1" applyAlignment="1">
      <alignment horizontal="center" vertical="center" wrapText="1"/>
    </xf>
    <xf numFmtId="0" fontId="3" fillId="9" borderId="14" xfId="3" applyFont="1" applyFill="1" applyBorder="1" applyAlignment="1">
      <alignment horizontal="center" vertical="center" wrapText="1"/>
    </xf>
    <xf numFmtId="0" fontId="10" fillId="9" borderId="29" xfId="0" applyFont="1" applyFill="1" applyBorder="1" applyAlignment="1">
      <alignment horizontal="center"/>
    </xf>
    <xf numFmtId="0" fontId="11" fillId="8" borderId="25" xfId="0" applyFont="1" applyFill="1" applyBorder="1" applyAlignment="1">
      <alignment horizontal="center" vertical="center" wrapText="1"/>
    </xf>
    <xf numFmtId="0" fontId="11" fillId="8" borderId="106" xfId="0" applyFont="1" applyFill="1" applyBorder="1" applyAlignment="1">
      <alignment horizontal="center" vertical="center" wrapText="1"/>
    </xf>
    <xf numFmtId="0" fontId="3" fillId="9" borderId="7"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10" fillId="9" borderId="39" xfId="0" applyFont="1" applyFill="1" applyBorder="1" applyAlignment="1">
      <alignment horizontal="center"/>
    </xf>
    <xf numFmtId="0" fontId="17" fillId="0" borderId="1" xfId="0" applyFont="1" applyBorder="1" applyAlignment="1">
      <alignment horizontal="center" vertical="center" wrapText="1"/>
    </xf>
    <xf numFmtId="0" fontId="46" fillId="11" borderId="44" xfId="0" applyFont="1" applyFill="1" applyBorder="1" applyAlignment="1">
      <alignment horizontal="left" wrapText="1"/>
    </xf>
    <xf numFmtId="0" fontId="46" fillId="11" borderId="12" xfId="0" applyFont="1" applyFill="1" applyBorder="1" applyAlignment="1">
      <alignment horizontal="left" wrapText="1"/>
    </xf>
    <xf numFmtId="0" fontId="46" fillId="0" borderId="43" xfId="0" applyFont="1" applyBorder="1" applyAlignment="1">
      <alignment horizontal="center"/>
    </xf>
    <xf numFmtId="0" fontId="46" fillId="28" borderId="40" xfId="0" applyFont="1" applyFill="1" applyBorder="1" applyAlignment="1">
      <alignment horizontal="left" wrapText="1"/>
    </xf>
    <xf numFmtId="0" fontId="46" fillId="28" borderId="55" xfId="0" applyFont="1" applyFill="1" applyBorder="1" applyAlignment="1">
      <alignment horizontal="left" wrapText="1"/>
    </xf>
    <xf numFmtId="0" fontId="46" fillId="25" borderId="1" xfId="0" applyFont="1" applyFill="1" applyBorder="1" applyAlignment="1">
      <alignment horizontal="center" wrapText="1"/>
    </xf>
    <xf numFmtId="0" fontId="35" fillId="0" borderId="9" xfId="0" applyFont="1" applyBorder="1" applyAlignment="1">
      <alignment horizontal="center"/>
    </xf>
    <xf numFmtId="0" fontId="35" fillId="0" borderId="6" xfId="0" applyFont="1" applyBorder="1" applyAlignment="1">
      <alignment horizontal="center"/>
    </xf>
    <xf numFmtId="0" fontId="35" fillId="17" borderId="9" xfId="0" applyFont="1" applyFill="1" applyBorder="1" applyAlignment="1">
      <alignment horizontal="center"/>
    </xf>
    <xf numFmtId="0" fontId="35" fillId="17" borderId="6" xfId="0" applyFont="1" applyFill="1" applyBorder="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74" fillId="43" borderId="34" xfId="0" applyFont="1" applyFill="1" applyBorder="1" applyAlignment="1">
      <alignment horizontal="center" vertical="center" wrapText="1"/>
    </xf>
    <xf numFmtId="0" fontId="74" fillId="43" borderId="35" xfId="0" applyFont="1" applyFill="1" applyBorder="1" applyAlignment="1">
      <alignment horizontal="center" vertical="center" wrapText="1"/>
    </xf>
    <xf numFmtId="0" fontId="74" fillId="43" borderId="36" xfId="0" applyFont="1" applyFill="1" applyBorder="1" applyAlignment="1">
      <alignment horizontal="center" vertical="center" wrapText="1"/>
    </xf>
    <xf numFmtId="0" fontId="74" fillId="44" borderId="34" xfId="0" applyFont="1" applyFill="1" applyBorder="1" applyAlignment="1">
      <alignment horizontal="center" vertical="center" wrapText="1"/>
    </xf>
    <xf numFmtId="0" fontId="74" fillId="44" borderId="35" xfId="0" applyFont="1" applyFill="1" applyBorder="1" applyAlignment="1">
      <alignment horizontal="center" vertical="center" wrapText="1"/>
    </xf>
    <xf numFmtId="0" fontId="74" fillId="44" borderId="36" xfId="0" applyFont="1" applyFill="1" applyBorder="1" applyAlignment="1">
      <alignment horizontal="center" vertical="center" wrapText="1"/>
    </xf>
    <xf numFmtId="0" fontId="66" fillId="17" borderId="106" xfId="0" applyFont="1" applyFill="1" applyBorder="1" applyAlignment="1">
      <alignment horizontal="left" vertical="center" wrapText="1"/>
    </xf>
    <xf numFmtId="0" fontId="66" fillId="17" borderId="89" xfId="0" applyFont="1" applyFill="1" applyBorder="1" applyAlignment="1">
      <alignment horizontal="left" vertical="center" wrapText="1"/>
    </xf>
    <xf numFmtId="0" fontId="68" fillId="24" borderId="44" xfId="0" applyFont="1" applyFill="1" applyBorder="1" applyAlignment="1">
      <alignment horizontal="center" vertical="top" wrapText="1"/>
    </xf>
    <xf numFmtId="0" fontId="68" fillId="24" borderId="45" xfId="0" applyFont="1" applyFill="1" applyBorder="1" applyAlignment="1">
      <alignment horizontal="center" vertical="top" wrapText="1"/>
    </xf>
    <xf numFmtId="0" fontId="68" fillId="24" borderId="43" xfId="0" applyFont="1" applyFill="1" applyBorder="1" applyAlignment="1">
      <alignment horizontal="center" vertical="top" wrapText="1"/>
    </xf>
    <xf numFmtId="0" fontId="68" fillId="24" borderId="12" xfId="0" applyFont="1" applyFill="1" applyBorder="1" applyAlignment="1">
      <alignment horizontal="center" vertical="top" wrapText="1"/>
    </xf>
    <xf numFmtId="0" fontId="68" fillId="2" borderId="11" xfId="0" applyFont="1" applyFill="1" applyBorder="1" applyAlignment="1">
      <alignment horizontal="center" vertical="top" wrapText="1"/>
    </xf>
    <xf numFmtId="0" fontId="68" fillId="2" borderId="0" xfId="0" applyFont="1" applyFill="1" applyAlignment="1">
      <alignment horizontal="center" vertical="top" wrapText="1"/>
    </xf>
    <xf numFmtId="0" fontId="68" fillId="2" borderId="108" xfId="0" applyFont="1" applyFill="1" applyBorder="1" applyAlignment="1">
      <alignment horizontal="center" vertical="top" wrapText="1"/>
    </xf>
    <xf numFmtId="0" fontId="38" fillId="0" borderId="42" xfId="0" applyFont="1" applyBorder="1" applyAlignment="1">
      <alignment horizontal="center" vertical="center" wrapText="1"/>
    </xf>
    <xf numFmtId="0" fontId="39" fillId="11" borderId="88" xfId="0" applyFont="1" applyFill="1" applyBorder="1" applyAlignment="1">
      <alignment horizontal="center" vertical="center" wrapText="1"/>
    </xf>
    <xf numFmtId="0" fontId="39" fillId="11" borderId="15" xfId="0" applyFont="1" applyFill="1" applyBorder="1" applyAlignment="1">
      <alignment horizontal="center" vertical="center" wrapText="1"/>
    </xf>
    <xf numFmtId="0" fontId="39" fillId="11" borderId="36" xfId="0" applyFont="1" applyFill="1" applyBorder="1" applyAlignment="1">
      <alignment horizontal="center" vertical="center" wrapText="1"/>
    </xf>
    <xf numFmtId="0" fontId="39" fillId="11" borderId="14" xfId="0" applyFont="1" applyFill="1" applyBorder="1" applyAlignment="1">
      <alignment horizontal="center" vertical="center" wrapText="1"/>
    </xf>
    <xf numFmtId="0" fontId="39" fillId="11" borderId="8" xfId="0" applyFont="1" applyFill="1" applyBorder="1" applyAlignment="1">
      <alignment horizontal="center" vertical="center" wrapText="1"/>
    </xf>
    <xf numFmtId="0" fontId="58" fillId="24" borderId="9" xfId="0" applyFont="1" applyFill="1" applyBorder="1" applyAlignment="1">
      <alignment horizontal="center" vertical="center" textRotation="90" wrapText="1"/>
    </xf>
    <xf numFmtId="0" fontId="58" fillId="24" borderId="10" xfId="0" applyFont="1" applyFill="1" applyBorder="1" applyAlignment="1">
      <alignment horizontal="center" vertical="center" textRotation="90" wrapText="1"/>
    </xf>
    <xf numFmtId="0" fontId="58" fillId="24" borderId="6" xfId="0" applyFont="1" applyFill="1" applyBorder="1" applyAlignment="1">
      <alignment horizontal="center" vertical="center" textRotation="90" wrapText="1"/>
    </xf>
    <xf numFmtId="0" fontId="40" fillId="11" borderId="9" xfId="0" applyFont="1" applyFill="1" applyBorder="1" applyAlignment="1">
      <alignment horizontal="center" vertical="center" textRotation="90" wrapText="1"/>
    </xf>
    <xf numFmtId="0" fontId="40" fillId="11" borderId="6" xfId="0" applyFont="1" applyFill="1" applyBorder="1" applyAlignment="1">
      <alignment horizontal="center" vertical="center" textRotation="90" wrapText="1"/>
    </xf>
    <xf numFmtId="0" fontId="39" fillId="11" borderId="112" xfId="0" applyFont="1" applyFill="1" applyBorder="1" applyAlignment="1">
      <alignment horizontal="center" vertical="center" wrapText="1"/>
    </xf>
    <xf numFmtId="0" fontId="39" fillId="11" borderId="46" xfId="0" applyFont="1" applyFill="1" applyBorder="1" applyAlignment="1">
      <alignment horizontal="center" vertical="center" wrapText="1"/>
    </xf>
    <xf numFmtId="0" fontId="39" fillId="11" borderId="31" xfId="0" applyFont="1" applyFill="1" applyBorder="1" applyAlignment="1">
      <alignment horizontal="center" vertical="center" wrapText="1"/>
    </xf>
    <xf numFmtId="0" fontId="39" fillId="11" borderId="111" xfId="0" applyFont="1" applyFill="1" applyBorder="1" applyAlignment="1">
      <alignment horizontal="center" vertical="center" wrapText="1"/>
    </xf>
    <xf numFmtId="0" fontId="39" fillId="11" borderId="10" xfId="0" applyFont="1" applyFill="1" applyBorder="1" applyAlignment="1">
      <alignment horizontal="center" vertical="center" wrapText="1"/>
    </xf>
    <xf numFmtId="0" fontId="39" fillId="11" borderId="6" xfId="0"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1" xfId="0" applyFont="1" applyFill="1" applyBorder="1" applyAlignment="1">
      <alignment horizontal="center" vertical="center"/>
    </xf>
    <xf numFmtId="0" fontId="40" fillId="11" borderId="20" xfId="0" applyFont="1" applyFill="1" applyBorder="1" applyAlignment="1">
      <alignment horizontal="center" vertical="center"/>
    </xf>
    <xf numFmtId="0" fontId="40" fillId="11" borderId="16" xfId="0" applyFont="1" applyFill="1" applyBorder="1" applyAlignment="1">
      <alignment horizontal="center" vertical="center"/>
    </xf>
    <xf numFmtId="0" fontId="40" fillId="11" borderId="17" xfId="0" applyFont="1" applyFill="1" applyBorder="1" applyAlignment="1">
      <alignment horizontal="center" vertical="center"/>
    </xf>
    <xf numFmtId="0" fontId="40" fillId="11" borderId="18" xfId="0" applyFont="1" applyFill="1" applyBorder="1" applyAlignment="1">
      <alignment horizontal="center" vertical="center"/>
    </xf>
    <xf numFmtId="0" fontId="39" fillId="11" borderId="109" xfId="0" applyFont="1" applyFill="1" applyBorder="1" applyAlignment="1">
      <alignment horizontal="center" vertical="center" wrapText="1"/>
    </xf>
    <xf numFmtId="0" fontId="39" fillId="11" borderId="110" xfId="0" applyFont="1" applyFill="1" applyBorder="1" applyAlignment="1">
      <alignment horizontal="center" vertical="center" wrapText="1"/>
    </xf>
    <xf numFmtId="0" fontId="39" fillId="11" borderId="51" xfId="0" applyFont="1" applyFill="1" applyBorder="1" applyAlignment="1">
      <alignment horizontal="center" vertical="center" wrapText="1"/>
    </xf>
    <xf numFmtId="0" fontId="40" fillId="11" borderId="16"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91" xfId="0" applyFont="1" applyFill="1" applyBorder="1" applyAlignment="1">
      <alignment horizontal="center" vertical="center" wrapText="1"/>
    </xf>
    <xf numFmtId="0" fontId="40" fillId="11" borderId="33" xfId="0" applyFont="1" applyFill="1" applyBorder="1" applyAlignment="1">
      <alignment horizontal="center" vertical="center" textRotation="90" wrapText="1"/>
    </xf>
    <xf numFmtId="0" fontId="40" fillId="11" borderId="31" xfId="0" applyFont="1" applyFill="1" applyBorder="1" applyAlignment="1">
      <alignment horizontal="center" vertical="center" textRotation="90" wrapText="1"/>
    </xf>
    <xf numFmtId="17" fontId="22"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58" fillId="24" borderId="90" xfId="0" applyFont="1" applyFill="1" applyBorder="1" applyAlignment="1">
      <alignment horizontal="center" vertical="center" textRotation="90" wrapText="1"/>
    </xf>
    <xf numFmtId="0" fontId="58" fillId="24" borderId="11" xfId="0" applyFont="1" applyFill="1" applyBorder="1" applyAlignment="1">
      <alignment horizontal="center" vertical="center" textRotation="90" wrapText="1"/>
    </xf>
    <xf numFmtId="0" fontId="58" fillId="24" borderId="93" xfId="0" applyFont="1" applyFill="1" applyBorder="1" applyAlignment="1">
      <alignment horizontal="center" vertical="center" textRotation="90" wrapText="1"/>
    </xf>
    <xf numFmtId="0" fontId="27" fillId="13" borderId="49" xfId="0" applyFont="1" applyFill="1" applyBorder="1" applyAlignment="1">
      <alignment horizontal="center" vertical="center" wrapText="1"/>
    </xf>
    <xf numFmtId="0" fontId="27" fillId="13" borderId="35"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0" xfId="0" applyFont="1" applyFill="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40" fillId="11" borderId="50" xfId="0" applyFont="1" applyFill="1" applyBorder="1" applyAlignment="1">
      <alignment horizontal="center" vertical="center" textRotation="90" wrapText="1"/>
    </xf>
    <xf numFmtId="0" fontId="40" fillId="11" borderId="51" xfId="0" applyFont="1" applyFill="1" applyBorder="1" applyAlignment="1">
      <alignment horizontal="center" vertical="center" textRotation="90" wrapText="1"/>
    </xf>
    <xf numFmtId="0" fontId="66" fillId="3" borderId="106" xfId="0" applyFont="1" applyFill="1" applyBorder="1" applyAlignment="1">
      <alignment horizontal="left" vertical="center" wrapText="1"/>
    </xf>
    <xf numFmtId="0" fontId="0" fillId="0" borderId="89" xfId="0" applyBorder="1" applyAlignment="1">
      <alignment horizontal="left" vertical="center" wrapText="1"/>
    </xf>
    <xf numFmtId="0" fontId="38" fillId="13" borderId="1" xfId="0" applyFont="1" applyFill="1" applyBorder="1" applyAlignment="1">
      <alignment horizontal="center" vertical="center" wrapText="1"/>
    </xf>
    <xf numFmtId="0" fontId="20" fillId="12" borderId="0" xfId="0" applyFont="1" applyFill="1" applyAlignment="1">
      <alignment horizontal="center" vertical="center" wrapText="1"/>
    </xf>
    <xf numFmtId="0" fontId="20" fillId="12" borderId="108" xfId="0" applyFont="1" applyFill="1" applyBorder="1" applyAlignment="1">
      <alignment horizontal="center" vertical="center" wrapText="1"/>
    </xf>
    <xf numFmtId="0" fontId="20" fillId="12" borderId="43" xfId="0" applyFont="1" applyFill="1" applyBorder="1" applyAlignment="1">
      <alignment horizontal="center" vertical="center" wrapText="1"/>
    </xf>
    <xf numFmtId="0" fontId="20" fillId="12" borderId="115" xfId="0" applyFont="1" applyFill="1" applyBorder="1" applyAlignment="1">
      <alignment horizontal="center" vertical="center" wrapText="1"/>
    </xf>
    <xf numFmtId="0" fontId="67" fillId="24" borderId="42" xfId="0" applyFont="1" applyFill="1" applyBorder="1" applyAlignment="1">
      <alignment horizontal="center" vertical="top" wrapText="1"/>
    </xf>
    <xf numFmtId="0" fontId="67" fillId="24" borderId="113" xfId="0" applyFont="1" applyFill="1" applyBorder="1" applyAlignment="1">
      <alignment horizontal="center" vertical="top" wrapText="1"/>
    </xf>
    <xf numFmtId="0" fontId="68" fillId="24" borderId="0" xfId="0" applyFont="1" applyFill="1" applyAlignment="1">
      <alignment horizontal="center" vertical="top" wrapText="1"/>
    </xf>
    <xf numFmtId="0" fontId="68" fillId="24" borderId="14" xfId="0" applyFont="1" applyFill="1" applyBorder="1" applyAlignment="1">
      <alignment horizontal="center" vertical="top" wrapText="1"/>
    </xf>
    <xf numFmtId="0" fontId="38" fillId="13" borderId="4" xfId="0" applyFont="1" applyFill="1" applyBorder="1" applyAlignment="1">
      <alignment horizontal="center" vertical="center" wrapText="1"/>
    </xf>
    <xf numFmtId="0" fontId="38" fillId="13" borderId="114" xfId="0" applyFont="1" applyFill="1" applyBorder="1" applyAlignment="1">
      <alignment horizontal="center" vertical="center" wrapText="1"/>
    </xf>
    <xf numFmtId="0" fontId="39" fillId="11" borderId="89" xfId="0" applyFont="1" applyFill="1" applyBorder="1" applyAlignment="1">
      <alignment horizontal="center" vertical="center" wrapText="1"/>
    </xf>
    <xf numFmtId="0" fontId="24" fillId="24" borderId="1" xfId="0" applyFont="1" applyFill="1" applyBorder="1" applyAlignment="1">
      <alignment horizontal="center" vertical="top" wrapText="1"/>
    </xf>
    <xf numFmtId="0" fontId="67" fillId="38" borderId="44" xfId="0" applyFont="1" applyFill="1" applyBorder="1" applyAlignment="1">
      <alignment horizontal="center" vertical="center" wrapText="1"/>
    </xf>
    <xf numFmtId="0" fontId="67" fillId="38" borderId="45" xfId="0" applyFont="1" applyFill="1" applyBorder="1" applyAlignment="1">
      <alignment horizontal="center" vertical="center" wrapText="1"/>
    </xf>
    <xf numFmtId="0" fontId="67" fillId="38" borderId="12" xfId="0" applyFont="1" applyFill="1" applyBorder="1" applyAlignment="1">
      <alignment horizontal="center" vertical="center" wrapText="1"/>
    </xf>
    <xf numFmtId="0" fontId="67" fillId="24" borderId="45" xfId="0" applyFont="1" applyFill="1" applyBorder="1" applyAlignment="1">
      <alignment horizontal="center" vertical="top" wrapText="1"/>
    </xf>
    <xf numFmtId="0" fontId="67" fillId="24" borderId="47" xfId="0" applyFont="1" applyFill="1" applyBorder="1" applyAlignment="1">
      <alignment horizontal="center" vertical="top" wrapText="1"/>
    </xf>
    <xf numFmtId="0" fontId="58" fillId="24" borderId="33" xfId="0" applyFont="1" applyFill="1" applyBorder="1" applyAlignment="1">
      <alignment horizontal="center" vertical="center" textRotation="90" wrapText="1"/>
    </xf>
    <xf numFmtId="0" fontId="58" fillId="24" borderId="46" xfId="0" applyFont="1" applyFill="1" applyBorder="1" applyAlignment="1">
      <alignment horizontal="center" vertical="center" textRotation="90" wrapText="1"/>
    </xf>
    <xf numFmtId="0" fontId="58" fillId="24" borderId="115" xfId="0" applyFont="1" applyFill="1" applyBorder="1" applyAlignment="1">
      <alignment horizontal="center" vertical="center" textRotation="90" wrapText="1"/>
    </xf>
    <xf numFmtId="0" fontId="22" fillId="7" borderId="5" xfId="0" applyFont="1" applyFill="1" applyBorder="1" applyAlignment="1">
      <alignment horizontal="center" vertical="center" wrapText="1"/>
    </xf>
    <xf numFmtId="0" fontId="22" fillId="7" borderId="22" xfId="0" applyFont="1" applyFill="1" applyBorder="1" applyAlignment="1">
      <alignment horizontal="center" vertical="center" wrapText="1"/>
    </xf>
  </cellXfs>
  <cellStyles count="19">
    <cellStyle name="BodyStyle" xfId="16"/>
    <cellStyle name="Currency" xfId="17"/>
    <cellStyle name="Énfasis1 2" xfId="11"/>
    <cellStyle name="Énfasis2 2" xfId="12"/>
    <cellStyle name="HeaderStyle" xfId="15"/>
    <cellStyle name="Hipervínculo" xfId="5" builtinId="8"/>
    <cellStyle name="Hipervínculo 2" xfId="6"/>
    <cellStyle name="Incorrecto 2" xfId="13"/>
    <cellStyle name="Millares" xfId="1" builtinId="3"/>
    <cellStyle name="Moneda [0]" xfId="18" builtinId="7"/>
    <cellStyle name="Moneda 2" xfId="7"/>
    <cellStyle name="Moneda 3" xfId="8"/>
    <cellStyle name="Normal" xfId="0" builtinId="0"/>
    <cellStyle name="Normal 2" xfId="9"/>
    <cellStyle name="Normal 2 2" xfId="4"/>
    <cellStyle name="Normal 3" xfId="3"/>
    <cellStyle name="Normal 4" xfId="14"/>
    <cellStyle name="Normal 7" xfId="10"/>
    <cellStyle name="Porcentaje" xfId="2" builtinId="5"/>
  </cellStyles>
  <dxfs count="68">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right style="thin">
          <color auto="1"/>
        </right>
        <top style="thin">
          <color auto="1"/>
        </top>
        <bottom/>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colors>
    <mruColors>
      <color rgb="FF99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4.gif"/><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_rels/drawing12.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8.gif"/></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MENU CAJA DE HERRAMIENTAS'!A1"/><Relationship Id="rId1" Type="http://schemas.openxmlformats.org/officeDocument/2006/relationships/image" Target="../media/image4.gif"/></Relationships>
</file>

<file path=xl/drawings/_rels/drawing14.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4.gif"/><Relationship Id="rId1" Type="http://schemas.openxmlformats.org/officeDocument/2006/relationships/hyperlink" Target="#'MENU CAJA DE HERRAMIENTAS'!A1"/><Relationship Id="rId5" Type="http://schemas.openxmlformats.org/officeDocument/2006/relationships/image" Target="../media/image7.jp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MENU CAJA DE HERRAMIENTAS'!A1"/></Relationships>
</file>

<file path=xl/drawings/_rels/drawing5.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6.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6.png"/><Relationship Id="rId1" Type="http://schemas.openxmlformats.org/officeDocument/2006/relationships/hyperlink" Target="#'MIPPA 1'!A1"/><Relationship Id="rId5" Type="http://schemas.openxmlformats.org/officeDocument/2006/relationships/image" Target="../media/image7.jpg"/><Relationship Id="rId4" Type="http://schemas.openxmlformats.org/officeDocument/2006/relationships/image" Target="../media/image4.gi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IPPA 1.1'!A1"/><Relationship Id="rId1" Type="http://schemas.openxmlformats.org/officeDocument/2006/relationships/image" Target="../media/image8.gif"/><Relationship Id="rId6" Type="http://schemas.openxmlformats.org/officeDocument/2006/relationships/image" Target="../media/image7.jpg"/><Relationship Id="rId5" Type="http://schemas.openxmlformats.org/officeDocument/2006/relationships/image" Target="../media/image9.png"/><Relationship Id="rId4" Type="http://schemas.openxmlformats.org/officeDocument/2006/relationships/hyperlink" Target="#'MENU CAJA DE HERRAMIENTAS'!A1"/></Relationships>
</file>

<file path=xl/drawings/_rels/drawing8.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MENU CAJA DE HERRAMIENTAS'!A1"/><Relationship Id="rId1" Type="http://schemas.openxmlformats.org/officeDocument/2006/relationships/image" Target="../media/image8.gif"/><Relationship Id="rId4"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1</xdr:row>
      <xdr:rowOff>95249</xdr:rowOff>
    </xdr:to>
    <xdr:pic>
      <xdr:nvPicPr>
        <xdr:cNvPr id="2" name="1 Imagen" descr="Resultado de imagen para gif home">
          <a:extLst>
            <a:ext uri="{FF2B5EF4-FFF2-40B4-BE49-F238E27FC236}">
              <a16:creationId xmlns:a16="http://schemas.microsoft.com/office/drawing/2014/main" xmlns=""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3</xdr:row>
      <xdr:rowOff>104774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xmlns=""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xdr:row>
      <xdr:rowOff>0</xdr:rowOff>
    </xdr:from>
    <xdr:to>
      <xdr:col>0</xdr:col>
      <xdr:colOff>1447800</xdr:colOff>
      <xdr:row>116</xdr:row>
      <xdr:rowOff>200025</xdr:rowOff>
    </xdr:to>
    <xdr:pic>
      <xdr:nvPicPr>
        <xdr:cNvPr id="4" name="3 Imagen">
          <a:hlinkClick xmlns:r="http://schemas.openxmlformats.org/officeDocument/2006/relationships" r:id="rId3"/>
          <a:extLst>
            <a:ext uri="{FF2B5EF4-FFF2-40B4-BE49-F238E27FC236}">
              <a16:creationId xmlns:a16="http://schemas.microsoft.com/office/drawing/2014/main" xmlns="" id="{00000000-0008-0000-0A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a16="http://schemas.microsoft.com/office/drawing/2014/main" xmlns=""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1</xdr:row>
      <xdr:rowOff>0</xdr:rowOff>
    </xdr:from>
    <xdr:to>
      <xdr:col>1</xdr:col>
      <xdr:colOff>3209925</xdr:colOff>
      <xdr:row>4</xdr:row>
      <xdr:rowOff>180975</xdr:rowOff>
    </xdr:to>
    <xdr:pic>
      <xdr:nvPicPr>
        <xdr:cNvPr id="4" name="Imagen 1">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4" y="200025"/>
          <a:ext cx="3181351"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xmlns="" id="{00000000-0008-0000-0D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xmlns="" id="{00000000-0008-0000-0D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1714500</xdr:colOff>
      <xdr:row>0</xdr:row>
      <xdr:rowOff>883227</xdr:rowOff>
    </xdr:to>
    <xdr:pic>
      <xdr:nvPicPr>
        <xdr:cNvPr id="6" name="Imagen 5">
          <a:extLst>
            <a:ext uri="{FF2B5EF4-FFF2-40B4-BE49-F238E27FC236}">
              <a16:creationId xmlns:a16="http://schemas.microsoft.com/office/drawing/2014/main" xmlns="" id="{00000000-0008-0000-0D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14500" cy="883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635000</xdr:colOff>
      <xdr:row>1</xdr:row>
      <xdr:rowOff>170962</xdr:rowOff>
    </xdr:from>
    <xdr:to>
      <xdr:col>21</xdr:col>
      <xdr:colOff>311760</xdr:colOff>
      <xdr:row>3</xdr:row>
      <xdr:rowOff>687509</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xmlns="" id="{00000000-0008-0000-0F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512883</xdr:colOff>
      <xdr:row>89</xdr:row>
      <xdr:rowOff>146537</xdr:rowOff>
    </xdr:from>
    <xdr:to>
      <xdr:col>21</xdr:col>
      <xdr:colOff>692195</xdr:colOff>
      <xdr:row>92</xdr:row>
      <xdr:rowOff>115277</xdr:rowOff>
    </xdr:to>
    <xdr:pic>
      <xdr:nvPicPr>
        <xdr:cNvPr id="3" name="2 Imagen">
          <a:hlinkClick xmlns:r="http://schemas.openxmlformats.org/officeDocument/2006/relationships" r:id="rId3"/>
          <a:extLst>
            <a:ext uri="{FF2B5EF4-FFF2-40B4-BE49-F238E27FC236}">
              <a16:creationId xmlns:a16="http://schemas.microsoft.com/office/drawing/2014/main" xmlns="" id="{00000000-0008-0000-0F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5626894</xdr:colOff>
      <xdr:row>5</xdr:row>
      <xdr:rowOff>321469</xdr:rowOff>
    </xdr:to>
    <xdr:pic>
      <xdr:nvPicPr>
        <xdr:cNvPr id="5" name="Imagen 1">
          <a:extLst>
            <a:ext uri="{FF2B5EF4-FFF2-40B4-BE49-F238E27FC236}">
              <a16:creationId xmlns:a16="http://schemas.microsoft.com/office/drawing/2014/main" xmlns="" id="{00000000-0008-0000-0F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6084094" cy="2476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685800</xdr:colOff>
      <xdr:row>24</xdr:row>
      <xdr:rowOff>71759</xdr:rowOff>
    </xdr:to>
    <xdr:sp macro="" textlink="">
      <xdr:nvSpPr>
        <xdr:cNvPr id="2" name="Título 4">
          <a:extLst>
            <a:ext uri="{FF2B5EF4-FFF2-40B4-BE49-F238E27FC236}">
              <a16:creationId xmlns:a16="http://schemas.microsoft.com/office/drawing/2014/main" xmlns="" id="{00000000-0008-0000-0100-000002000000}"/>
            </a:ext>
          </a:extLst>
        </xdr:cNvPr>
        <xdr:cNvSpPr>
          <a:spLocks noGrp="1"/>
        </xdr:cNvSpPr>
      </xdr:nvSpPr>
      <xdr:spPr>
        <a:xfrm>
          <a:off x="762000" y="7058025"/>
          <a:ext cx="9144000" cy="833759"/>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b="1" kern="1200">
              <a:solidFill>
                <a:schemeClr val="tx1"/>
              </a:solidFill>
              <a:latin typeface="Arial" panose="020B0604020202020204" pitchFamily="34" charset="0"/>
              <a:ea typeface="+mj-ea"/>
              <a:cs typeface="Arial" panose="020B0604020202020204" pitchFamily="34" charset="0"/>
            </a:defRPr>
          </a:lvl1pPr>
        </a:lstStyle>
        <a:p>
          <a:r>
            <a:rPr lang="es-CO" sz="2800"/>
            <a:t>Indicadores de Gestión Oficina de Control Interno</a:t>
          </a:r>
          <a:endParaRPr lang="es-ES" sz="2800"/>
        </a:p>
      </xdr:txBody>
    </xdr:sp>
    <xdr:clientData/>
  </xdr:twoCellAnchor>
  <xdr:twoCellAnchor>
    <xdr:from>
      <xdr:col>1</xdr:col>
      <xdr:colOff>47625</xdr:colOff>
      <xdr:row>24</xdr:row>
      <xdr:rowOff>104775</xdr:rowOff>
    </xdr:from>
    <xdr:to>
      <xdr:col>7</xdr:col>
      <xdr:colOff>733425</xdr:colOff>
      <xdr:row>38</xdr:row>
      <xdr:rowOff>149145</xdr:rowOff>
    </xdr:to>
    <xdr:sp macro="" textlink="">
      <xdr:nvSpPr>
        <xdr:cNvPr id="3" name="Subtítulo 5">
          <a:extLst>
            <a:ext uri="{FF2B5EF4-FFF2-40B4-BE49-F238E27FC236}">
              <a16:creationId xmlns:a16="http://schemas.microsoft.com/office/drawing/2014/main" xmlns="" id="{00000000-0008-0000-0100-000003000000}"/>
            </a:ext>
          </a:extLst>
        </xdr:cNvPr>
        <xdr:cNvSpPr>
          <a:spLocks noGrp="1"/>
        </xdr:cNvSpPr>
      </xdr:nvSpPr>
      <xdr:spPr>
        <a:xfrm>
          <a:off x="809625" y="7924800"/>
          <a:ext cx="9144000" cy="2711370"/>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Arial" panose="020B0604020202020204" pitchFamily="34" charset="0"/>
              <a:ea typeface="+mn-ea"/>
              <a:cs typeface="Arial" panose="020B0604020202020204" pitchFamily="34" charset="0"/>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Arial" panose="020B0604020202020204" pitchFamily="34" charset="0"/>
              <a:ea typeface="+mn-ea"/>
              <a:cs typeface="Arial" panose="020B0604020202020204" pitchFamily="34" charset="0"/>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Arial" panose="020B0604020202020204" pitchFamily="34" charset="0"/>
              <a:ea typeface="+mn-ea"/>
              <a:cs typeface="Arial" panose="020B0604020202020204" pitchFamily="34" charset="0"/>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CO" sz="1800" b="1" i="0" u="none" strike="noStrike">
              <a:solidFill>
                <a:srgbClr val="000000"/>
              </a:solidFill>
              <a:effectLst/>
              <a:latin typeface="Arial" panose="020B0604020202020204" pitchFamily="34" charset="0"/>
            </a:rPr>
            <a:t>Nombre del Indicador</a:t>
          </a:r>
          <a:r>
            <a:rPr lang="es-CO"/>
            <a:t> </a:t>
          </a:r>
          <a:r>
            <a:rPr lang="es-CO" sz="1800" b="0" i="0" u="none" strike="noStrike">
              <a:solidFill>
                <a:srgbClr val="000000"/>
              </a:solidFill>
              <a:effectLst/>
              <a:latin typeface="Arial" panose="020B0604020202020204" pitchFamily="34" charset="0"/>
            </a:rPr>
            <a:t>Cumplimiento del Plan Anual de Auditorias</a:t>
          </a:r>
          <a:r>
            <a:rPr lang="es-CO"/>
            <a:t> </a:t>
          </a:r>
        </a:p>
        <a:p>
          <a:r>
            <a:rPr lang="es-CO" sz="1800" b="1">
              <a:solidFill>
                <a:srgbClr val="000000"/>
              </a:solidFill>
            </a:rPr>
            <a:t>Porcentaje de ejecución vigencia 2022 del 98%</a:t>
          </a:r>
        </a:p>
        <a:p>
          <a:endParaRPr lang="es-CO" sz="1800" b="1">
            <a:solidFill>
              <a:srgbClr val="000000"/>
            </a:solidFill>
          </a:endParaRPr>
        </a:p>
        <a:p>
          <a:endParaRPr lang="es-CO" sz="1800" b="1">
            <a:solidFill>
              <a:srgbClr val="000000"/>
            </a:solidFill>
          </a:endParaRPr>
        </a:p>
        <a:p>
          <a:r>
            <a:rPr lang="es-CO" sz="1800" b="1">
              <a:solidFill>
                <a:srgbClr val="000000"/>
              </a:solidFill>
            </a:rPr>
            <a:t>Nombre del Indicador </a:t>
          </a:r>
          <a:r>
            <a:rPr lang="es-CO" sz="1800">
              <a:solidFill>
                <a:srgbClr val="000000"/>
              </a:solidFill>
            </a:rPr>
            <a:t>Efectividad en la presentación de informes de</a:t>
          </a:r>
          <a:r>
            <a:rPr lang="es-CO" sz="1800" baseline="0">
              <a:solidFill>
                <a:srgbClr val="000000"/>
              </a:solidFill>
            </a:rPr>
            <a:t> ley </a:t>
          </a:r>
          <a:r>
            <a:rPr lang="es-CO" sz="1800">
              <a:solidFill>
                <a:srgbClr val="000000"/>
              </a:solidFill>
            </a:rPr>
            <a:t>de la Oficina de Control Interno </a:t>
          </a:r>
        </a:p>
        <a:p>
          <a:r>
            <a:rPr lang="es-CO" sz="1800" b="1">
              <a:solidFill>
                <a:srgbClr val="000000"/>
              </a:solidFill>
            </a:rPr>
            <a:t>Porcentaje de ejecución vigencia 2022 del 98%</a:t>
          </a:r>
        </a:p>
        <a:p>
          <a:endParaRPr lang="es-CO" sz="1800">
            <a:solidFill>
              <a:srgbClr val="000000"/>
            </a:solidFill>
          </a:endParaRPr>
        </a:p>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114300</xdr:rowOff>
    </xdr:from>
    <xdr:to>
      <xdr:col>15</xdr:col>
      <xdr:colOff>588003</xdr:colOff>
      <xdr:row>18</xdr:row>
      <xdr:rowOff>38100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stretch>
          <a:fillRect/>
        </a:stretch>
      </xdr:blipFill>
      <xdr:spPr>
        <a:xfrm>
          <a:off x="771525" y="114300"/>
          <a:ext cx="11246478" cy="335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xmlns="" id="{00000000-0008-0000-03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xmlns="" id="{00000000-0008-0000-05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xmlns="" id="{00000000-0008-0000-05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9526</xdr:rowOff>
    </xdr:from>
    <xdr:to>
      <xdr:col>0</xdr:col>
      <xdr:colOff>1600200</xdr:colOff>
      <xdr:row>1</xdr:row>
      <xdr:rowOff>0</xdr:rowOff>
    </xdr:to>
    <xdr:pic>
      <xdr:nvPicPr>
        <xdr:cNvPr id="5" name="Imagen 1">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 y="9526"/>
          <a:ext cx="1552575" cy="9048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xmlns="" id="{00000000-0008-0000-06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106</xdr:row>
      <xdr:rowOff>85725</xdr:rowOff>
    </xdr:from>
    <xdr:to>
      <xdr:col>1</xdr:col>
      <xdr:colOff>2085975</xdr:colOff>
      <xdr:row>110</xdr:row>
      <xdr:rowOff>0</xdr:rowOff>
    </xdr:to>
    <xdr:pic>
      <xdr:nvPicPr>
        <xdr:cNvPr id="3" name="2 Imagen">
          <a:hlinkClick xmlns:r="http://schemas.openxmlformats.org/officeDocument/2006/relationships" r:id="rId2"/>
          <a:extLst>
            <a:ext uri="{FF2B5EF4-FFF2-40B4-BE49-F238E27FC236}">
              <a16:creationId xmlns:a16="http://schemas.microsoft.com/office/drawing/2014/main" xmlns="" id="{00000000-0008-0000-06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twoCellAnchor editAs="oneCell">
    <xdr:from>
      <xdr:col>1</xdr:col>
      <xdr:colOff>0</xdr:colOff>
      <xdr:row>1</xdr:row>
      <xdr:rowOff>0</xdr:rowOff>
    </xdr:from>
    <xdr:to>
      <xdr:col>1</xdr:col>
      <xdr:colOff>3211286</xdr:colOff>
      <xdr:row>4</xdr:row>
      <xdr:rowOff>149679</xdr:rowOff>
    </xdr:to>
    <xdr:pic>
      <xdr:nvPicPr>
        <xdr:cNvPr id="6" name="Imagen 1">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9357" y="190500"/>
          <a:ext cx="3211286"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xmlns="" id="{00000000-0008-0000-08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a16="http://schemas.microsoft.com/office/drawing/2014/main" xmlns="" id="{00000000-0008-0000-08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twoCellAnchor editAs="oneCell">
    <xdr:from>
      <xdr:col>0</xdr:col>
      <xdr:colOff>28574</xdr:colOff>
      <xdr:row>1</xdr:row>
      <xdr:rowOff>19050</xdr:rowOff>
    </xdr:from>
    <xdr:to>
      <xdr:col>0</xdr:col>
      <xdr:colOff>2552700</xdr:colOff>
      <xdr:row>4</xdr:row>
      <xdr:rowOff>161925</xdr:rowOff>
    </xdr:to>
    <xdr:pic>
      <xdr:nvPicPr>
        <xdr:cNvPr id="6" name="Imagen 1">
          <a:extLst>
            <a:ext uri="{FF2B5EF4-FFF2-40B4-BE49-F238E27FC236}">
              <a16:creationId xmlns:a16="http://schemas.microsoft.com/office/drawing/2014/main" xmlns="" id="{00000000-0008-0000-08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4" y="219075"/>
          <a:ext cx="2524126"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se Edwin Lozano" refreshedDate="43852.614646527778" createdVersion="4" refreshedVersion="6" minRefreshableVersion="3" recordCount="87">
  <cacheSource type="worksheet">
    <worksheetSource name="Tabla1"/>
  </cacheSource>
  <cacheFields count="9">
    <cacheField name="No" numFmtId="0">
      <sharedItems containsSemiMixedTypes="0" containsString="0" containsNumber="1" containsInteger="1" minValue="1" maxValue="87"/>
    </cacheField>
    <cacheField name="TIPO DE TRABAJO DE AUDITORÍA " numFmtId="0">
      <sharedItems containsBlank="1" count="4">
        <s v="Informe de Auditoria"/>
        <s v="Informe de Seguimiento"/>
        <s v="Informe de Ley"/>
        <m/>
      </sharedItems>
    </cacheField>
    <cacheField name="Descripción" numFmtId="0">
      <sharedItems containsBlank="1"/>
    </cacheField>
    <cacheField name="Planeacion Auditoria/Solicitud de Informaciòn" numFmtId="0">
      <sharedItems containsString="0" containsBlank="1" containsNumber="1" minValue="0.5" maxValue="64"/>
    </cacheField>
    <cacheField name="Ejecucion  Auditoria/Análisis de informaciòn" numFmtId="0">
      <sharedItems containsString="0" containsBlank="1" containsNumber="1" minValue="0" maxValue="304"/>
    </cacheField>
    <cacheField name="Informe de Auditoria /Seguimiento" numFmtId="0">
      <sharedItems containsBlank="1" containsMixedTypes="1" containsNumber="1" containsInteger="1" minValue="0" maxValue="40"/>
    </cacheField>
    <cacheField name="Total horas por trabajo de auditoría" numFmtId="0">
      <sharedItems containsSemiMixedTypes="0" containsString="0" containsNumber="1" containsInteger="1" minValue="0" maxValue="5408"/>
    </cacheField>
    <cacheField name="# Informes x año" numFmtId="0">
      <sharedItems containsString="0" containsBlank="1" containsNumber="1" containsInteger="1" minValue="1" maxValue="353"/>
    </cacheField>
    <cacheField name="Horas x trabajo de auditoría" numFmtId="0">
      <sharedItems containsSemiMixedTypes="0" containsString="0" containsNumber="1" containsInteger="1" minValue="0" maxValue="121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1"/>
    <x v="0"/>
    <s v="Auditoria Gestión Contractual"/>
    <n v="16"/>
    <n v="280"/>
    <n v="24"/>
    <n v="320"/>
    <n v="1"/>
    <n v="320"/>
  </r>
  <r>
    <n v="2"/>
    <x v="0"/>
    <s v="Auditoria Misional - Predios Administrados por la ERU"/>
    <n v="16"/>
    <n v="272"/>
    <n v="24"/>
    <n v="312"/>
    <n v="1"/>
    <n v="312"/>
  </r>
  <r>
    <n v="3"/>
    <x v="0"/>
    <s v="Auditoria Gestión de TIC"/>
    <n v="8"/>
    <n v="200"/>
    <n v="16"/>
    <n v="224"/>
    <n v="1"/>
    <n v="224"/>
  </r>
  <r>
    <n v="4"/>
    <x v="0"/>
    <s v="Auditoría Proceso Gestión de Grupos de Interés"/>
    <n v="8"/>
    <n v="216"/>
    <n v="16"/>
    <n v="240"/>
    <n v="1"/>
    <n v="240"/>
  </r>
  <r>
    <n v="5"/>
    <x v="0"/>
    <s v="Auditoria a Direccionamiento Estrategico"/>
    <n v="8"/>
    <n v="216"/>
    <n v="16"/>
    <n v="240"/>
    <n v="1"/>
    <n v="240"/>
  </r>
  <r>
    <n v="6"/>
    <x v="0"/>
    <s v="Auditoría Proceso Ejecución de Proyectos de obra"/>
    <n v="16"/>
    <n v="288"/>
    <n v="24"/>
    <n v="328"/>
    <n v="1"/>
    <n v="328"/>
  </r>
  <r>
    <n v="7"/>
    <x v="0"/>
    <s v="Funcionamiento Software que maneja la Empresa"/>
    <n v="8"/>
    <n v="128"/>
    <n v="16"/>
    <n v="152"/>
    <n v="1"/>
    <n v="152"/>
  </r>
  <r>
    <n v="8"/>
    <x v="0"/>
    <s v="Auditoria Proceso Gestión Financiera"/>
    <n v="16"/>
    <n v="304"/>
    <n v="24"/>
    <n v="344"/>
    <n v="1"/>
    <n v="344"/>
  </r>
  <r>
    <n v="9"/>
    <x v="0"/>
    <s v="San Victorino - Plaza de la Hoja"/>
    <n v="16"/>
    <n v="280"/>
    <n v="24"/>
    <n v="320"/>
    <n v="1"/>
    <n v="320"/>
  </r>
  <r>
    <n v="10"/>
    <x v="0"/>
    <s v="Auditoria Misional - Construcción Nueva Sede del SENA"/>
    <n v="16"/>
    <n v="280"/>
    <n v="24"/>
    <n v="320"/>
    <n v="1"/>
    <n v="320"/>
  </r>
  <r>
    <n v="11"/>
    <x v="0"/>
    <s v="Actualización listado de auditores internos y verificar su disponibilidad y compromiso. "/>
    <n v="8"/>
    <n v="0"/>
    <n v="0"/>
    <n v="8"/>
    <n v="1"/>
    <n v="8"/>
  </r>
  <r>
    <n v="12"/>
    <x v="0"/>
    <s v="Preparación y Organización Auditorias de Calidad - Diagnostico a 3 procesos"/>
    <n v="2"/>
    <n v="12"/>
    <n v="2"/>
    <n v="16"/>
    <n v="1"/>
    <n v="16"/>
  </r>
  <r>
    <n v="13"/>
    <x v="0"/>
    <s v="Comunicación del programa de Auditoría  a los responsables de los procesos y Comunicación del programa de Auditoría  a los auditores internos asignados.  "/>
    <n v="0.5"/>
    <n v="0.5"/>
    <n v="0"/>
    <n v="1"/>
    <n v="1"/>
    <n v="1"/>
  </r>
  <r>
    <n v="14"/>
    <x v="0"/>
    <s v="Ejecución Plan Auditorías Calidad"/>
    <n v="12"/>
    <n v="12"/>
    <n v="16"/>
    <n v="40"/>
    <n v="1"/>
    <n v="40"/>
  </r>
  <r>
    <n v="15"/>
    <x v="0"/>
    <s v="Actualización listado de auditores internos y verificar su disponibilidad y compromiso. "/>
    <n v="8"/>
    <n v="0"/>
    <n v="0"/>
    <n v="8"/>
    <n v="1"/>
    <n v="8"/>
  </r>
  <r>
    <n v="16"/>
    <x v="0"/>
    <s v="Preparación y Organización Auditorias de Calidad - Ciclo 2020"/>
    <n v="2"/>
    <n v="12"/>
    <n v="2"/>
    <n v="16"/>
    <n v="1"/>
    <n v="16"/>
  </r>
  <r>
    <n v="17"/>
    <x v="0"/>
    <s v="Comunicación del programa de Auditoría  a los responsables de los procesos y Comunicación del programa de Auditoría  a los auditores internos asignados.  "/>
    <n v="0.5"/>
    <n v="0.5"/>
    <n v="0"/>
    <n v="1"/>
    <n v="1"/>
    <n v="1"/>
  </r>
  <r>
    <n v="18"/>
    <x v="0"/>
    <s v="Ejecución Plan Auditorías Calidad"/>
    <n v="12"/>
    <n v="12"/>
    <n v="16"/>
    <n v="40"/>
    <n v="1"/>
    <n v="40"/>
  </r>
  <r>
    <n v="19"/>
    <x v="1"/>
    <s v="Autoevaluación Proceso Evaluación y Seguimiento: Revisión procedimientos, instructivos, formatos, indicadores y riesgos del proceso ."/>
    <n v="24"/>
    <n v="24"/>
    <n v="8"/>
    <n v="56"/>
    <n v="1"/>
    <n v="56"/>
  </r>
  <r>
    <n v="20"/>
    <x v="1"/>
    <s v="Seguimiento Cajas Menores"/>
    <n v="16"/>
    <n v="16"/>
    <n v="16"/>
    <n v="48"/>
    <n v="4"/>
    <n v="192"/>
  </r>
  <r>
    <n v="21"/>
    <x v="1"/>
    <s v="Comité Autoevaluación Proceso (trimestrales)"/>
    <n v="8"/>
    <n v="8"/>
    <n v="8"/>
    <n v="24"/>
    <n v="1"/>
    <n v="24"/>
  </r>
  <r>
    <n v="22"/>
    <x v="2"/>
    <s v="Seguimiento y Control de Acciones de Plan Anticorrupción y Atención al Ciudadano 2020"/>
    <n v="32"/>
    <n v="40"/>
    <n v="8"/>
    <n v="80"/>
    <n v="3"/>
    <n v="240"/>
  </r>
  <r>
    <n v="23"/>
    <x v="2"/>
    <s v="Segimiento Estrategía Anti-trámite"/>
    <n v="32"/>
    <n v="40"/>
    <n v="8"/>
    <n v="80"/>
    <n v="1"/>
    <n v="80"/>
  </r>
  <r>
    <n v="24"/>
    <x v="2"/>
    <s v="Seguimientos a publicaciones de la Contratación en la Plataforma SECOP"/>
    <n v="32"/>
    <n v="40"/>
    <n v="8"/>
    <n v="80"/>
    <n v="3"/>
    <n v="240"/>
  </r>
  <r>
    <n v="25"/>
    <x v="2"/>
    <s v="Evaluación del Sistema de Control Interno Contable"/>
    <n v="40"/>
    <n v="56"/>
    <n v="12"/>
    <n v="108"/>
    <n v="1"/>
    <n v="108"/>
  </r>
  <r>
    <n v="26"/>
    <x v="2"/>
    <s v="Informe de Evaluación del Sistema de Control Interno."/>
    <n v="32"/>
    <n v="64"/>
    <n v="12"/>
    <n v="108"/>
    <n v="2"/>
    <n v="216"/>
  </r>
  <r>
    <n v="27"/>
    <x v="2"/>
    <s v="Seguimiento Comité de Defensa Judicial, Conciliación y Repetición y SIPROJ"/>
    <n v="28"/>
    <n v="56"/>
    <n v="12"/>
    <n v="96"/>
    <n v="2"/>
    <n v="192"/>
  </r>
  <r>
    <n v="28"/>
    <x v="2"/>
    <s v="Seguimiento a Directrices para Prevenir Conductas Irregulares sobre Incumplimiento de Manuales de Funciones y de Procedimientos y Pérdida de Elementos y Documentos Público. Directiva  003 de 2013"/>
    <n v="24"/>
    <n v="24"/>
    <n v="8"/>
    <n v="56"/>
    <n v="2"/>
    <n v="112"/>
  </r>
  <r>
    <n v="29"/>
    <x v="2"/>
    <s v="Seguimiento CXP "/>
    <n v="24"/>
    <n v="64"/>
    <n v="12"/>
    <n v="100"/>
    <n v="1"/>
    <n v="100"/>
  </r>
  <r>
    <n v="30"/>
    <x v="2"/>
    <s v="Seguimiento a Peticiones, Quejas, Reclamos, Sugerencias y Felicitaciones "/>
    <n v="40"/>
    <n v="56"/>
    <n v="12"/>
    <n v="108"/>
    <n v="2"/>
    <n v="216"/>
  </r>
  <r>
    <n v="31"/>
    <x v="2"/>
    <s v="Seguimiento Comités Institucionales"/>
    <n v="40"/>
    <n v="56"/>
    <n v="12"/>
    <n v="108"/>
    <n v="1"/>
    <n v="108"/>
  </r>
  <r>
    <n v="32"/>
    <x v="2"/>
    <s v="Seguimiento Estado de Cumplimiento Metas Plan de Desarrollo e Indicadores"/>
    <n v="40"/>
    <n v="56"/>
    <n v="12"/>
    <n v="108"/>
    <n v="4"/>
    <n v="432"/>
  </r>
  <r>
    <n v="33"/>
    <x v="2"/>
    <s v="Seguimiento de Acuerdos de Gestión"/>
    <n v="48"/>
    <n v="48"/>
    <n v="12"/>
    <n v="108"/>
    <n v="2"/>
    <n v="216"/>
  </r>
  <r>
    <n v="34"/>
    <x v="2"/>
    <s v="Seguimiento a Verificación, Recomendaciones y Resultados sobre Cumplimiento de normas en materia de Derechos de Autor sobre Software "/>
    <n v="20"/>
    <n v="24"/>
    <n v="16"/>
    <n v="60"/>
    <n v="1"/>
    <n v="60"/>
  </r>
  <r>
    <n v="35"/>
    <x v="2"/>
    <s v="Informe de gestión Integral de la OCI"/>
    <n v="32"/>
    <n v="40"/>
    <n v="8"/>
    <n v="80"/>
    <n v="2"/>
    <n v="160"/>
  </r>
  <r>
    <n v="36"/>
    <x v="2"/>
    <s v="Seguimiento a la Austeridad en el Gasto"/>
    <n v="40"/>
    <n v="40"/>
    <n v="12"/>
    <n v="92"/>
    <n v="4"/>
    <n v="368"/>
  </r>
  <r>
    <n v="37"/>
    <x v="2"/>
    <s v="Evaluación de los Riesgos  de Corrupción"/>
    <n v="48"/>
    <n v="40"/>
    <n v="12"/>
    <n v="100"/>
    <n v="3"/>
    <n v="300"/>
  </r>
  <r>
    <n v="38"/>
    <x v="2"/>
    <s v="Evaluación de los Riesgos  de Gestión"/>
    <n v="24"/>
    <n v="20"/>
    <n v="6"/>
    <n v="50"/>
    <n v="2"/>
    <n v="100"/>
  </r>
  <r>
    <n v="39"/>
    <x v="2"/>
    <s v="Evaluación y Seguimiento Implementación MIPG  7 dimensiones y 17 políticas"/>
    <n v="64"/>
    <n v="40"/>
    <n v="40"/>
    <n v="144"/>
    <n v="1"/>
    <n v="144"/>
  </r>
  <r>
    <n v="40"/>
    <x v="2"/>
    <s v="Seguimiento Informes Gobierno Digital"/>
    <n v="20"/>
    <n v="24"/>
    <n v="16"/>
    <n v="60"/>
    <n v="1"/>
    <n v="60"/>
  </r>
  <r>
    <n v="41"/>
    <x v="2"/>
    <s v="Seguimiento Implementación Ley de Transparencia"/>
    <n v="20"/>
    <n v="24"/>
    <n v="16"/>
    <n v="60"/>
    <n v="1"/>
    <n v="60"/>
  </r>
  <r>
    <n v="42"/>
    <x v="2"/>
    <s v="Seguimiento Comité de Sostenibilidad Contable"/>
    <n v="40"/>
    <n v="56"/>
    <n v="12"/>
    <n v="108"/>
    <n v="1"/>
    <n v="108"/>
  </r>
  <r>
    <n v="43"/>
    <x v="2"/>
    <s v="Seguimiento Código de Integridad"/>
    <n v="32"/>
    <n v="40"/>
    <n v="8"/>
    <n v="80"/>
    <n v="1"/>
    <n v="80"/>
  </r>
  <r>
    <n v="44"/>
    <x v="2"/>
    <s v="Seguimiento Reporte - Índice de Transparencia y Acceso a la Información - ITA."/>
    <n v="32"/>
    <n v="40"/>
    <n v="8"/>
    <n v="80"/>
    <n v="1"/>
    <n v="80"/>
  </r>
  <r>
    <n v="45"/>
    <x v="2"/>
    <s v="Campaña de fomento de Autocontrol"/>
    <n v="40"/>
    <n v="20"/>
    <n v="32"/>
    <n v="92"/>
    <n v="2"/>
    <n v="184"/>
  </r>
  <r>
    <n v="46"/>
    <x v="2"/>
    <s v="Trasmisión Cuenta Mensual Contraloría"/>
    <n v="12"/>
    <n v="8"/>
    <n v="4"/>
    <n v="24"/>
    <n v="12"/>
    <n v="288"/>
  </r>
  <r>
    <n v="47"/>
    <x v="2"/>
    <s v="Trasmisión Cuenta Anual Contraloría"/>
    <n v="40"/>
    <n v="45"/>
    <n v="8"/>
    <n v="93"/>
    <n v="1"/>
    <n v="93"/>
  </r>
  <r>
    <n v="48"/>
    <x v="1"/>
    <s v="Seguimiento Plan de Mejoramiento por Procesos"/>
    <n v="13"/>
    <n v="32"/>
    <n v="2"/>
    <n v="47"/>
    <n v="4"/>
    <n v="188"/>
  </r>
  <r>
    <n v="49"/>
    <x v="1"/>
    <s v="Seguimiento Plan de Mejoramiento Contraloría"/>
    <n v="12"/>
    <n v="8"/>
    <n v="4"/>
    <n v="24"/>
    <n v="12"/>
    <n v="288"/>
  </r>
  <r>
    <n v="50"/>
    <x v="1"/>
    <s v="Reparto, seguimiento, revisión y registro de respuestas a Entes Externos de Control"/>
    <n v="2"/>
    <n v="8"/>
    <n v="6"/>
    <n v="16"/>
    <n v="256"/>
    <n v="4096"/>
  </r>
  <r>
    <n v="51"/>
    <x v="3"/>
    <m/>
    <m/>
    <m/>
    <m/>
    <n v="0"/>
    <m/>
    <n v="0"/>
  </r>
  <r>
    <n v="52"/>
    <x v="3"/>
    <m/>
    <m/>
    <m/>
    <m/>
    <n v="0"/>
    <m/>
    <n v="0"/>
  </r>
  <r>
    <n v="53"/>
    <x v="3"/>
    <m/>
    <m/>
    <m/>
    <m/>
    <n v="0"/>
    <m/>
    <n v="0"/>
  </r>
  <r>
    <n v="54"/>
    <x v="3"/>
    <m/>
    <m/>
    <m/>
    <m/>
    <n v="0"/>
    <m/>
    <n v="0"/>
  </r>
  <r>
    <n v="55"/>
    <x v="3"/>
    <m/>
    <m/>
    <m/>
    <m/>
    <n v="0"/>
    <m/>
    <n v="0"/>
  </r>
  <r>
    <n v="56"/>
    <x v="3"/>
    <m/>
    <m/>
    <m/>
    <m/>
    <n v="0"/>
    <m/>
    <n v="0"/>
  </r>
  <r>
    <n v="57"/>
    <x v="3"/>
    <m/>
    <m/>
    <m/>
    <m/>
    <n v="0"/>
    <m/>
    <n v="0"/>
  </r>
  <r>
    <n v="58"/>
    <x v="3"/>
    <m/>
    <m/>
    <m/>
    <m/>
    <n v="0"/>
    <m/>
    <n v="0"/>
  </r>
  <r>
    <n v="59"/>
    <x v="3"/>
    <m/>
    <m/>
    <m/>
    <m/>
    <n v="0"/>
    <m/>
    <n v="0"/>
  </r>
  <r>
    <n v="60"/>
    <x v="3"/>
    <m/>
    <m/>
    <m/>
    <m/>
    <n v="0"/>
    <m/>
    <n v="0"/>
  </r>
  <r>
    <n v="61"/>
    <x v="3"/>
    <m/>
    <m/>
    <m/>
    <m/>
    <n v="0"/>
    <m/>
    <n v="0"/>
  </r>
  <r>
    <n v="62"/>
    <x v="3"/>
    <m/>
    <m/>
    <m/>
    <m/>
    <n v="0"/>
    <m/>
    <n v="0"/>
  </r>
  <r>
    <n v="63"/>
    <x v="3"/>
    <m/>
    <m/>
    <m/>
    <m/>
    <n v="0"/>
    <m/>
    <n v="0"/>
  </r>
  <r>
    <n v="64"/>
    <x v="3"/>
    <m/>
    <m/>
    <m/>
    <m/>
    <n v="0"/>
    <m/>
    <n v="0"/>
  </r>
  <r>
    <n v="65"/>
    <x v="3"/>
    <m/>
    <m/>
    <m/>
    <m/>
    <n v="0"/>
    <m/>
    <n v="0"/>
  </r>
  <r>
    <n v="66"/>
    <x v="3"/>
    <m/>
    <m/>
    <m/>
    <m/>
    <n v="0"/>
    <m/>
    <n v="0"/>
  </r>
  <r>
    <n v="67"/>
    <x v="3"/>
    <m/>
    <m/>
    <m/>
    <m/>
    <n v="0"/>
    <m/>
    <n v="0"/>
  </r>
  <r>
    <n v="68"/>
    <x v="3"/>
    <m/>
    <m/>
    <m/>
    <m/>
    <n v="0"/>
    <m/>
    <n v="0"/>
  </r>
  <r>
    <n v="69"/>
    <x v="3"/>
    <m/>
    <m/>
    <m/>
    <m/>
    <n v="0"/>
    <m/>
    <n v="0"/>
  </r>
  <r>
    <n v="70"/>
    <x v="3"/>
    <m/>
    <m/>
    <m/>
    <m/>
    <n v="0"/>
    <m/>
    <n v="0"/>
  </r>
  <r>
    <n v="71"/>
    <x v="3"/>
    <m/>
    <m/>
    <m/>
    <m/>
    <n v="0"/>
    <m/>
    <n v="0"/>
  </r>
  <r>
    <n v="72"/>
    <x v="3"/>
    <m/>
    <m/>
    <m/>
    <m/>
    <n v="0"/>
    <m/>
    <n v="0"/>
  </r>
  <r>
    <n v="73"/>
    <x v="3"/>
    <m/>
    <m/>
    <m/>
    <m/>
    <n v="0"/>
    <m/>
    <n v="0"/>
  </r>
  <r>
    <n v="74"/>
    <x v="3"/>
    <m/>
    <m/>
    <m/>
    <m/>
    <n v="0"/>
    <m/>
    <n v="0"/>
  </r>
  <r>
    <n v="75"/>
    <x v="3"/>
    <m/>
    <m/>
    <m/>
    <m/>
    <n v="0"/>
    <m/>
    <n v="0"/>
  </r>
  <r>
    <n v="76"/>
    <x v="3"/>
    <m/>
    <m/>
    <m/>
    <m/>
    <n v="0"/>
    <m/>
    <n v="0"/>
  </r>
  <r>
    <n v="77"/>
    <x v="3"/>
    <m/>
    <m/>
    <m/>
    <m/>
    <n v="0"/>
    <m/>
    <n v="0"/>
  </r>
  <r>
    <n v="78"/>
    <x v="3"/>
    <m/>
    <m/>
    <m/>
    <m/>
    <n v="0"/>
    <m/>
    <n v="0"/>
  </r>
  <r>
    <n v="79"/>
    <x v="3"/>
    <m/>
    <m/>
    <m/>
    <m/>
    <n v="0"/>
    <m/>
    <n v="0"/>
  </r>
  <r>
    <n v="80"/>
    <x v="3"/>
    <m/>
    <m/>
    <m/>
    <m/>
    <n v="0"/>
    <m/>
    <n v="0"/>
  </r>
  <r>
    <n v="81"/>
    <x v="3"/>
    <m/>
    <m/>
    <m/>
    <m/>
    <n v="0"/>
    <m/>
    <n v="0"/>
  </r>
  <r>
    <n v="82"/>
    <x v="3"/>
    <m/>
    <m/>
    <m/>
    <m/>
    <n v="0"/>
    <m/>
    <n v="0"/>
  </r>
  <r>
    <n v="83"/>
    <x v="3"/>
    <m/>
    <m/>
    <m/>
    <m/>
    <n v="0"/>
    <m/>
    <n v="0"/>
  </r>
  <r>
    <n v="84"/>
    <x v="3"/>
    <m/>
    <m/>
    <m/>
    <m/>
    <n v="0"/>
    <m/>
    <n v="0"/>
  </r>
  <r>
    <n v="85"/>
    <x v="3"/>
    <m/>
    <m/>
    <m/>
    <m/>
    <n v="0"/>
    <m/>
    <n v="0"/>
  </r>
  <r>
    <n v="86"/>
    <x v="3"/>
    <m/>
    <m/>
    <m/>
    <m/>
    <n v="0"/>
    <m/>
    <n v="0"/>
  </r>
  <r>
    <n v="87"/>
    <x v="3"/>
    <m/>
    <m/>
    <m/>
    <s v="TOTALES"/>
    <n v="5408"/>
    <n v="353"/>
    <n v="121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6" minRefreshableVersion="3" useAutoFormatting="1" itemPrintTitles="1" createdVersion="4" indent="0" outline="1" outlineData="1" multipleFieldFilters="0">
  <location ref="A107:C112" firstHeaderRow="0" firstDataRow="1" firstDataCol="1"/>
  <pivotFields count="9">
    <pivotField showAll="0"/>
    <pivotField axis="axisRow" showAll="0">
      <items count="5">
        <item x="0"/>
        <item x="2"/>
        <item x="1"/>
        <item x="3"/>
        <item t="default"/>
      </items>
    </pivotField>
    <pivotField showAll="0"/>
    <pivotField showAll="0"/>
    <pivotField showAll="0"/>
    <pivotField showAll="0"/>
    <pivotField dataField="1" showAll="0"/>
    <pivotField dataField="1" showAll="0"/>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29">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1" displayName="Tabla1" ref="A12:I102" totalsRowCount="1" headerRowDxfId="28" dataDxfId="26" headerRowBorderDxfId="27" tableBorderDxfId="25" totalsRowBorderDxfId="24">
  <tableColumns count="9">
    <tableColumn id="1" name="No" dataDxfId="23" totalsRowDxfId="22"/>
    <tableColumn id="2" name="TIPO DE TRABAJO DE AUDITORÍA " dataDxfId="21" totalsRowDxfId="20"/>
    <tableColumn id="3" name="Descripción" dataDxfId="19" totalsRowDxfId="18"/>
    <tableColumn id="4" name="Planeacion Auditoria/Solicitud de Informaciòn" dataDxfId="17" totalsRowDxfId="16"/>
    <tableColumn id="5" name="Ejecucion  Auditoria/Análisis de informaciòn" dataDxfId="15" totalsRowDxfId="14">
      <calculatedColumnFormula>320-Tabla1[[#This Row],[Planeacion Auditoria/Solicitud de Informaciòn]]-Tabla1[[#This Row],[Informe de Auditoria /Seguimiento]]</calculatedColumnFormula>
    </tableColumn>
    <tableColumn id="6" name="Informe de Auditoria /Seguimiento" dataDxfId="13" totalsRowDxfId="12"/>
    <tableColumn id="7" name="Total horas por trabajo de auditoría" dataDxfId="11" totalsRowDxfId="10"/>
    <tableColumn id="8" name="# Informes x año" dataDxfId="9" totalsRowDxfId="8"/>
    <tableColumn id="9" name="Horas x trabajo de auditoría" dataDxfId="7" totalsRowDxfId="6">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olombia.workingdays.org/"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1.bin"/><Relationship Id="rId1" Type="http://schemas.openxmlformats.org/officeDocument/2006/relationships/hyperlink" Target="http://colombia.workingdays.org/"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jvillalbam@eru.gov.co" TargetMode="External"/><Relationship Id="rId1" Type="http://schemas.openxmlformats.org/officeDocument/2006/relationships/hyperlink" Target="mailto:jvillalbam@eru.gov.co"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www.eru.gov.co/es/node/1759" TargetMode="External"/><Relationship Id="rId13" Type="http://schemas.openxmlformats.org/officeDocument/2006/relationships/hyperlink" Target="http://186.154.195.124/organigrama" TargetMode="External"/><Relationship Id="rId18" Type="http://schemas.openxmlformats.org/officeDocument/2006/relationships/printerSettings" Target="../printerSettings/printerSettings4.bin"/><Relationship Id="rId3" Type="http://schemas.openxmlformats.org/officeDocument/2006/relationships/hyperlink" Target="http://www.eru.gov.co/es/search/content?keys=politicas+institucionales" TargetMode="External"/><Relationship Id="rId7" Type="http://schemas.openxmlformats.org/officeDocument/2006/relationships/hyperlink" Target="http://186.154.195.124/search/content?keys=MAPA+RIESGOS" TargetMode="External"/><Relationship Id="rId12" Type="http://schemas.openxmlformats.org/officeDocument/2006/relationships/hyperlink" Target="http://186.154.195.124/node/2354" TargetMode="External"/><Relationship Id="rId17" Type="http://schemas.openxmlformats.org/officeDocument/2006/relationships/hyperlink" Target="http://186.154.195.124/node/3488" TargetMode="External"/><Relationship Id="rId2" Type="http://schemas.openxmlformats.org/officeDocument/2006/relationships/hyperlink" Target="http://186.154.195.124/node/2803" TargetMode="External"/><Relationship Id="rId16" Type="http://schemas.openxmlformats.org/officeDocument/2006/relationships/hyperlink" Target="http://www.eru.gov.co/es/search/content?keys=proyectos+de+inversi%C3%B3n" TargetMode="External"/><Relationship Id="rId1" Type="http://schemas.openxmlformats.org/officeDocument/2006/relationships/hyperlink" Target="http://186.154.195.124/node/2808" TargetMode="External"/><Relationship Id="rId6" Type="http://schemas.openxmlformats.org/officeDocument/2006/relationships/hyperlink" Target="http://186.154.195.124/node/2354" TargetMode="External"/><Relationship Id="rId11" Type="http://schemas.openxmlformats.org/officeDocument/2006/relationships/hyperlink" Target="http://www.eru.gov.co/es/transparencia/normativa/resolucion-054-de-2021" TargetMode="External"/><Relationship Id="rId5" Type="http://schemas.openxmlformats.org/officeDocument/2006/relationships/hyperlink" Target="http://186.154.195.124/node/2395" TargetMode="External"/><Relationship Id="rId15" Type="http://schemas.openxmlformats.org/officeDocument/2006/relationships/hyperlink" Target="http://186.154.195.124/index.php/mipg-sig/mapa-procesos" TargetMode="External"/><Relationship Id="rId10" Type="http://schemas.openxmlformats.org/officeDocument/2006/relationships/hyperlink" Target="http://www.eru.gov.co/index.php/es/search/content?keys=activos+de+informacion" TargetMode="External"/><Relationship Id="rId19" Type="http://schemas.openxmlformats.org/officeDocument/2006/relationships/drawing" Target="../drawings/drawing6.xml"/><Relationship Id="rId4" Type="http://schemas.openxmlformats.org/officeDocument/2006/relationships/hyperlink" Target="http://186.154.195.124/search/content?keys=gestion%20documental&amp;page=0" TargetMode="External"/><Relationship Id="rId9" Type="http://schemas.openxmlformats.org/officeDocument/2006/relationships/hyperlink" Target="http://186.154.195.124/search/content?keys=Comit%C3%A9+Institucional+de+Coordinaci%C3%B3n+de+Control+Interno" TargetMode="External"/><Relationship Id="rId14" Type="http://schemas.openxmlformats.org/officeDocument/2006/relationships/hyperlink" Target="http://186.154.195.124/node/165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7"/>
  <sheetViews>
    <sheetView topLeftCell="A7" workbookViewId="0"/>
  </sheetViews>
  <sheetFormatPr baseColWidth="10" defaultColWidth="11.42578125" defaultRowHeight="15" x14ac:dyDescent="0.25"/>
  <cols>
    <col min="1" max="16384" width="11.42578125" style="63"/>
  </cols>
  <sheetData>
    <row r="4" spans="3:14" ht="15.75" thickBot="1" x14ac:dyDescent="0.3"/>
    <row r="5" spans="3:14" ht="68.25" customHeight="1" thickBot="1" x14ac:dyDescent="0.3">
      <c r="C5" s="483" t="s">
        <v>22</v>
      </c>
      <c r="D5" s="484"/>
      <c r="E5" s="484"/>
      <c r="F5" s="484"/>
      <c r="G5" s="484"/>
      <c r="H5" s="484"/>
      <c r="I5" s="484"/>
      <c r="J5" s="484"/>
      <c r="K5" s="484"/>
      <c r="L5" s="484"/>
      <c r="M5" s="484"/>
      <c r="N5" s="485"/>
    </row>
    <row r="6" spans="3:14" ht="288.75" customHeight="1" thickBot="1" x14ac:dyDescent="0.3">
      <c r="C6" s="480" t="s">
        <v>28</v>
      </c>
      <c r="D6" s="481"/>
      <c r="E6" s="481"/>
      <c r="F6" s="481"/>
      <c r="G6" s="481"/>
      <c r="H6" s="481"/>
      <c r="I6" s="481"/>
      <c r="J6" s="481"/>
      <c r="K6" s="481"/>
      <c r="L6" s="481"/>
      <c r="M6" s="481"/>
      <c r="N6" s="482"/>
    </row>
    <row r="7" spans="3:14" ht="45" customHeight="1" thickBot="1" x14ac:dyDescent="0.3">
      <c r="C7" s="46"/>
      <c r="D7" s="49" t="s">
        <v>29</v>
      </c>
      <c r="E7" s="47"/>
      <c r="F7" s="47"/>
      <c r="G7" s="47"/>
      <c r="H7" s="47"/>
      <c r="I7" s="47"/>
      <c r="J7" s="47"/>
      <c r="K7" s="47"/>
      <c r="L7" s="47"/>
      <c r="M7" s="47"/>
      <c r="N7" s="48"/>
    </row>
    <row r="8" spans="3:14" ht="45" customHeight="1" x14ac:dyDescent="0.25">
      <c r="C8" s="43"/>
      <c r="D8" s="52" t="s">
        <v>59</v>
      </c>
      <c r="E8" s="44"/>
      <c r="F8" s="44"/>
      <c r="G8" s="44"/>
      <c r="H8" s="44"/>
      <c r="I8" s="44"/>
      <c r="J8" s="44"/>
      <c r="K8" s="44"/>
      <c r="L8" s="44"/>
      <c r="M8" s="44"/>
      <c r="N8" s="45"/>
    </row>
    <row r="9" spans="3:14" x14ac:dyDescent="0.25">
      <c r="C9" s="24"/>
      <c r="D9" s="19"/>
      <c r="E9" s="19"/>
      <c r="F9" s="19"/>
      <c r="G9" s="19"/>
      <c r="H9" s="19"/>
      <c r="I9" s="19"/>
      <c r="J9" s="19"/>
      <c r="K9" s="19"/>
      <c r="L9" s="19"/>
      <c r="M9" s="19"/>
      <c r="N9" s="20"/>
    </row>
    <row r="10" spans="3:14" ht="18" x14ac:dyDescent="0.25">
      <c r="C10" s="18"/>
      <c r="D10" s="25" t="s">
        <v>23</v>
      </c>
      <c r="E10" s="19"/>
      <c r="F10" s="19"/>
      <c r="G10" s="19"/>
      <c r="H10" s="19"/>
      <c r="I10" s="19"/>
      <c r="J10" s="19"/>
      <c r="K10" s="19"/>
      <c r="L10" s="19"/>
      <c r="M10" s="19"/>
      <c r="N10" s="20"/>
    </row>
    <row r="11" spans="3:14" ht="15.75" thickBot="1" x14ac:dyDescent="0.3">
      <c r="C11" s="26"/>
      <c r="D11" s="22"/>
      <c r="E11" s="22"/>
      <c r="F11" s="22"/>
      <c r="G11" s="22"/>
      <c r="H11" s="22"/>
      <c r="I11" s="22"/>
      <c r="J11" s="22"/>
      <c r="K11" s="22"/>
      <c r="L11" s="22"/>
      <c r="M11" s="22"/>
      <c r="N11" s="23"/>
    </row>
    <row r="12" spans="3:14" x14ac:dyDescent="0.25">
      <c r="C12" s="24"/>
      <c r="D12" s="19"/>
      <c r="E12" s="19"/>
      <c r="F12" s="19"/>
      <c r="G12" s="19"/>
      <c r="H12" s="19"/>
      <c r="I12" s="19"/>
      <c r="J12" s="19"/>
      <c r="K12" s="19"/>
      <c r="L12" s="19"/>
      <c r="M12" s="19"/>
      <c r="N12" s="20"/>
    </row>
    <row r="13" spans="3:14" ht="18" x14ac:dyDescent="0.25">
      <c r="C13" s="18"/>
      <c r="D13" s="25" t="s">
        <v>58</v>
      </c>
      <c r="E13" s="19"/>
      <c r="F13" s="19"/>
      <c r="G13" s="19"/>
      <c r="H13" s="19"/>
      <c r="I13" s="19"/>
      <c r="J13" s="19"/>
      <c r="K13" s="19"/>
      <c r="L13" s="19"/>
      <c r="M13" s="19"/>
      <c r="N13" s="20"/>
    </row>
    <row r="14" spans="3:14" ht="15.75" thickBot="1" x14ac:dyDescent="0.3">
      <c r="C14" s="26"/>
      <c r="D14" s="22"/>
      <c r="E14" s="22"/>
      <c r="F14" s="22"/>
      <c r="G14" s="22"/>
      <c r="H14" s="22"/>
      <c r="I14" s="22"/>
      <c r="J14" s="22"/>
      <c r="K14" s="22"/>
      <c r="L14" s="22"/>
      <c r="M14" s="22"/>
      <c r="N14" s="23"/>
    </row>
    <row r="15" spans="3:14" x14ac:dyDescent="0.25">
      <c r="C15" s="24"/>
      <c r="D15" s="19"/>
      <c r="E15" s="19"/>
      <c r="F15" s="19"/>
      <c r="G15" s="19"/>
      <c r="H15" s="19"/>
      <c r="I15" s="19"/>
      <c r="J15" s="19"/>
      <c r="K15" s="19"/>
      <c r="L15" s="19"/>
      <c r="M15" s="19"/>
      <c r="N15" s="20"/>
    </row>
    <row r="16" spans="3:14" ht="18" x14ac:dyDescent="0.25">
      <c r="C16" s="18"/>
      <c r="D16" s="25" t="s">
        <v>24</v>
      </c>
      <c r="E16" s="19"/>
      <c r="F16" s="19"/>
      <c r="G16" s="19"/>
      <c r="H16" s="19"/>
      <c r="I16" s="19"/>
      <c r="J16" s="19"/>
      <c r="K16" s="19"/>
      <c r="L16" s="19"/>
      <c r="M16" s="19"/>
      <c r="N16" s="20"/>
    </row>
    <row r="17" spans="3:14" ht="15.75" thickBot="1" x14ac:dyDescent="0.3">
      <c r="C17" s="26"/>
      <c r="D17" s="22"/>
      <c r="E17" s="22"/>
      <c r="F17" s="22"/>
      <c r="G17" s="22"/>
      <c r="H17" s="22"/>
      <c r="I17" s="22"/>
      <c r="J17" s="22"/>
      <c r="K17" s="22"/>
      <c r="L17" s="22"/>
      <c r="M17" s="22"/>
      <c r="N17" s="23"/>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topLeftCell="A19" zoomScale="95" zoomScaleNormal="95" workbookViewId="0"/>
  </sheetViews>
  <sheetFormatPr baseColWidth="10" defaultColWidth="11.42578125" defaultRowHeight="15" x14ac:dyDescent="0.25"/>
  <cols>
    <col min="2" max="2" width="47.140625" customWidth="1"/>
    <col min="3" max="3" width="4.5703125" customWidth="1"/>
    <col min="4" max="4" width="84.85546875" customWidth="1"/>
    <col min="5" max="5" width="45.28515625" customWidth="1"/>
  </cols>
  <sheetData>
    <row r="3" spans="1:5" x14ac:dyDescent="0.25">
      <c r="A3" s="77"/>
      <c r="B3" s="77" t="s">
        <v>129</v>
      </c>
      <c r="C3" s="77"/>
      <c r="D3" s="77" t="s">
        <v>115</v>
      </c>
      <c r="E3" s="77" t="s">
        <v>130</v>
      </c>
    </row>
    <row r="4" spans="1:5" ht="60" customHeight="1" x14ac:dyDescent="0.25">
      <c r="A4" s="583">
        <v>1</v>
      </c>
      <c r="B4" s="586" t="s">
        <v>123</v>
      </c>
      <c r="C4" s="78" t="s">
        <v>131</v>
      </c>
      <c r="D4" s="56" t="s">
        <v>132</v>
      </c>
      <c r="E4" s="79" t="s">
        <v>133</v>
      </c>
    </row>
    <row r="5" spans="1:5" ht="45" customHeight="1" x14ac:dyDescent="0.25">
      <c r="A5" s="584"/>
      <c r="B5" s="587"/>
      <c r="C5" s="78" t="s">
        <v>124</v>
      </c>
      <c r="D5" s="56" t="s">
        <v>104</v>
      </c>
      <c r="E5" s="79" t="s">
        <v>134</v>
      </c>
    </row>
    <row r="6" spans="1:5" ht="33" x14ac:dyDescent="0.25">
      <c r="A6" s="585"/>
      <c r="B6" s="588"/>
      <c r="C6" s="78" t="s">
        <v>125</v>
      </c>
      <c r="D6" s="56" t="s">
        <v>105</v>
      </c>
      <c r="E6" s="79" t="s">
        <v>135</v>
      </c>
    </row>
    <row r="7" spans="1:5" ht="28.5" x14ac:dyDescent="0.25">
      <c r="A7" s="42">
        <v>2</v>
      </c>
      <c r="B7" s="80" t="s">
        <v>136</v>
      </c>
      <c r="C7" s="78" t="s">
        <v>137</v>
      </c>
      <c r="D7" s="56" t="s">
        <v>138</v>
      </c>
      <c r="E7" s="58"/>
    </row>
    <row r="8" spans="1:5" ht="30.75" customHeight="1" x14ac:dyDescent="0.25">
      <c r="A8" s="42"/>
      <c r="B8" s="80"/>
      <c r="C8" s="78"/>
      <c r="D8" s="56" t="s">
        <v>139</v>
      </c>
      <c r="E8" s="81" t="s">
        <v>140</v>
      </c>
    </row>
    <row r="9" spans="1:5" ht="30.75" customHeight="1" x14ac:dyDescent="0.25">
      <c r="A9" s="42"/>
      <c r="B9" s="80"/>
      <c r="C9" s="78"/>
      <c r="D9" s="56" t="s">
        <v>141</v>
      </c>
      <c r="E9" s="82" t="s">
        <v>142</v>
      </c>
    </row>
    <row r="10" spans="1:5" ht="33" x14ac:dyDescent="0.25">
      <c r="A10" s="42">
        <v>3</v>
      </c>
      <c r="B10" s="80" t="s">
        <v>143</v>
      </c>
      <c r="C10" s="78" t="s">
        <v>144</v>
      </c>
      <c r="D10" s="56" t="s">
        <v>145</v>
      </c>
      <c r="E10" s="82" t="s">
        <v>146</v>
      </c>
    </row>
    <row r="11" spans="1:5" ht="33" x14ac:dyDescent="0.3">
      <c r="A11" s="42"/>
      <c r="B11" s="80"/>
      <c r="C11" s="78" t="s">
        <v>147</v>
      </c>
      <c r="D11" s="56" t="s">
        <v>148</v>
      </c>
      <c r="E11" s="55"/>
    </row>
    <row r="12" spans="1:5" ht="33" x14ac:dyDescent="0.3">
      <c r="A12" s="57"/>
      <c r="B12" s="56"/>
      <c r="C12" s="78" t="s">
        <v>149</v>
      </c>
      <c r="D12" s="56" t="s">
        <v>150</v>
      </c>
      <c r="E12" s="55"/>
    </row>
    <row r="13" spans="1:5" ht="33" x14ac:dyDescent="0.3">
      <c r="A13" s="57"/>
      <c r="B13" s="56"/>
      <c r="C13" s="78" t="s">
        <v>151</v>
      </c>
      <c r="D13" s="56" t="s">
        <v>152</v>
      </c>
      <c r="E13" s="55"/>
    </row>
    <row r="14" spans="1:5" ht="33" x14ac:dyDescent="0.3">
      <c r="A14" s="57"/>
      <c r="B14" s="56"/>
      <c r="C14" s="78" t="s">
        <v>153</v>
      </c>
      <c r="D14" s="56" t="s">
        <v>154</v>
      </c>
      <c r="E14" s="55"/>
    </row>
    <row r="15" spans="1:5" ht="33" x14ac:dyDescent="0.3">
      <c r="A15" s="57"/>
      <c r="B15" s="56"/>
      <c r="C15" s="78" t="s">
        <v>155</v>
      </c>
      <c r="D15" s="56" t="s">
        <v>156</v>
      </c>
      <c r="E15" s="55"/>
    </row>
    <row r="16" spans="1:5" ht="33" x14ac:dyDescent="0.3">
      <c r="A16" s="57"/>
      <c r="B16" s="56"/>
      <c r="C16" s="78" t="s">
        <v>157</v>
      </c>
      <c r="D16" s="56" t="s">
        <v>158</v>
      </c>
      <c r="E16" s="55"/>
    </row>
    <row r="17" spans="1:5" ht="16.5" x14ac:dyDescent="0.3">
      <c r="A17" s="57"/>
      <c r="B17" s="56"/>
      <c r="C17" s="78"/>
      <c r="D17" s="83" t="s">
        <v>159</v>
      </c>
      <c r="E17" s="55"/>
    </row>
    <row r="18" spans="1:5" ht="33" x14ac:dyDescent="0.3">
      <c r="A18" s="57"/>
      <c r="B18" s="56"/>
      <c r="C18" s="78" t="s">
        <v>160</v>
      </c>
      <c r="D18" s="56" t="s">
        <v>161</v>
      </c>
      <c r="E18" s="55"/>
    </row>
    <row r="19" spans="1:5" ht="16.5" x14ac:dyDescent="0.3">
      <c r="A19" s="57"/>
      <c r="B19" s="56"/>
      <c r="C19" s="78"/>
      <c r="D19" s="83" t="s">
        <v>162</v>
      </c>
      <c r="E19" s="55"/>
    </row>
    <row r="20" spans="1:5" ht="16.5" x14ac:dyDescent="0.3">
      <c r="A20" s="57"/>
      <c r="B20" s="56"/>
      <c r="C20" s="57"/>
      <c r="D20" s="83" t="s">
        <v>163</v>
      </c>
      <c r="E20" s="84" t="s">
        <v>164</v>
      </c>
    </row>
    <row r="21" spans="1:5" ht="33" x14ac:dyDescent="0.3">
      <c r="A21" s="42">
        <v>4</v>
      </c>
      <c r="B21" s="80" t="s">
        <v>165</v>
      </c>
      <c r="C21" s="78" t="s">
        <v>166</v>
      </c>
      <c r="D21" s="56" t="s">
        <v>167</v>
      </c>
      <c r="E21" s="55"/>
    </row>
    <row r="22" spans="1:5" ht="16.5" x14ac:dyDescent="0.3">
      <c r="A22" s="55"/>
      <c r="B22" s="54"/>
      <c r="C22" s="55"/>
      <c r="D22" s="54"/>
      <c r="E22" s="55"/>
    </row>
    <row r="23" spans="1:5" x14ac:dyDescent="0.25">
      <c r="B23" s="14"/>
      <c r="D23" s="14"/>
    </row>
    <row r="24" spans="1:5" x14ac:dyDescent="0.25">
      <c r="B24" s="14"/>
      <c r="D24" s="14"/>
    </row>
    <row r="25" spans="1:5" x14ac:dyDescent="0.25">
      <c r="B25" s="14"/>
      <c r="D25" s="14"/>
    </row>
    <row r="26" spans="1:5" x14ac:dyDescent="0.25">
      <c r="B26" s="14"/>
      <c r="D26" s="14"/>
    </row>
    <row r="27" spans="1:5" x14ac:dyDescent="0.25">
      <c r="B27" s="14"/>
      <c r="D27" s="14"/>
    </row>
    <row r="28" spans="1:5" x14ac:dyDescent="0.25">
      <c r="B28" s="14"/>
      <c r="D28" s="14"/>
    </row>
  </sheetData>
  <mergeCells count="2">
    <mergeCell ref="A4:A6"/>
    <mergeCell ref="B4:B6"/>
  </mergeCells>
  <hyperlinks>
    <hyperlink ref="E4" location="'1. Horas requeridas PAAI'!A1" display="'1. Horas requeridas PAAI'!A1"/>
    <hyperlink ref="E10" location="'3 Horas disponibles E. Auditor'!A1" display="'3 Horas disponibles E. Auditor'!A1"/>
    <hyperlink ref="E5" location="'1. Horas requeridas PAAI'!A1" display="'1. Horas requeridas PAAI'!A1"/>
    <hyperlink ref="E6" location="'1. Horas requeridas PAAI'!A1" display="'1. Horas requeridas PAAI'!A1"/>
    <hyperlink ref="E9" location="'2. Días -horas hábiles x vig'!A1" display="'2. Días -horas hábiles x vig'!A1"/>
    <hyperlink ref="E8" r:id="rId1"/>
    <hyperlink ref="E20" location="'4. Resultado'!A1" display="'4. Resultado'!A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1"/>
  <sheetViews>
    <sheetView topLeftCell="A62" workbookViewId="0"/>
  </sheetViews>
  <sheetFormatPr baseColWidth="10" defaultColWidth="11.42578125" defaultRowHeight="16.5" x14ac:dyDescent="0.3"/>
  <cols>
    <col min="1" max="1" width="26.140625" style="94" customWidth="1"/>
    <col min="2" max="2" width="48.7109375" style="94" customWidth="1"/>
    <col min="3" max="3" width="30.28515625" style="94" customWidth="1"/>
    <col min="4" max="9" width="23.28515625" style="94" customWidth="1"/>
    <col min="10" max="10" width="11" style="94" customWidth="1"/>
    <col min="11" max="11" width="12.5703125" style="94" bestFit="1" customWidth="1"/>
    <col min="12" max="13" width="11.42578125" style="94"/>
    <col min="14" max="14" width="27.5703125" style="94" customWidth="1"/>
    <col min="15" max="16384" width="11.42578125" style="94"/>
  </cols>
  <sheetData>
    <row r="1" spans="1:14" s="19" customFormat="1" ht="15" hidden="1" customHeight="1" x14ac:dyDescent="0.25">
      <c r="A1"/>
      <c r="B1" s="491" t="s">
        <v>243</v>
      </c>
      <c r="C1" s="491"/>
      <c r="D1" s="491"/>
      <c r="E1" s="491"/>
      <c r="F1" s="491"/>
      <c r="G1" s="491"/>
      <c r="H1" s="491"/>
      <c r="I1" s="492"/>
      <c r="J1" s="64"/>
      <c r="K1" s="64"/>
      <c r="L1" s="66"/>
      <c r="M1" s="67"/>
    </row>
    <row r="2" spans="1:14" x14ac:dyDescent="0.3">
      <c r="A2" s="96"/>
      <c r="B2" s="29"/>
      <c r="C2" s="29"/>
      <c r="D2" s="29"/>
      <c r="E2" s="29"/>
      <c r="F2" s="29"/>
      <c r="G2" s="29"/>
      <c r="H2" s="29"/>
      <c r="I2" s="97"/>
    </row>
    <row r="3" spans="1:14" x14ac:dyDescent="0.3">
      <c r="A3" s="96" t="s">
        <v>260</v>
      </c>
      <c r="B3" s="29"/>
      <c r="C3" s="29"/>
      <c r="D3" s="29"/>
      <c r="E3" s="29"/>
      <c r="F3" s="29"/>
      <c r="G3" s="29"/>
      <c r="H3" s="29"/>
      <c r="I3" s="97"/>
    </row>
    <row r="4" spans="1:14" ht="18.75" x14ac:dyDescent="0.3">
      <c r="A4" s="163" t="s">
        <v>241</v>
      </c>
      <c r="B4" s="29"/>
      <c r="C4" s="29"/>
      <c r="D4" s="29"/>
      <c r="E4" s="29"/>
      <c r="F4" s="29"/>
      <c r="G4" s="29"/>
      <c r="H4" s="29"/>
      <c r="I4" s="97"/>
    </row>
    <row r="5" spans="1:14" ht="18.75" x14ac:dyDescent="0.3">
      <c r="A5" s="163" t="s">
        <v>240</v>
      </c>
      <c r="B5" s="29"/>
      <c r="C5" s="29"/>
      <c r="D5" s="29"/>
      <c r="E5" s="29"/>
      <c r="F5" s="29"/>
      <c r="G5" s="29"/>
      <c r="H5" s="29"/>
      <c r="I5" s="97"/>
    </row>
    <row r="6" spans="1:14" ht="18.75" x14ac:dyDescent="0.3">
      <c r="A6" s="163" t="s">
        <v>242</v>
      </c>
      <c r="B6" s="29"/>
      <c r="C6" s="29"/>
      <c r="D6" s="29"/>
      <c r="E6" s="29"/>
      <c r="F6" s="29"/>
      <c r="G6" s="29"/>
      <c r="H6" s="29"/>
      <c r="I6" s="97"/>
    </row>
    <row r="7" spans="1:14" ht="18.75" x14ac:dyDescent="0.3">
      <c r="A7" s="162"/>
      <c r="B7" s="29"/>
      <c r="C7" s="29"/>
      <c r="D7" s="29"/>
      <c r="E7" s="29"/>
      <c r="F7" s="29"/>
      <c r="G7" s="29"/>
      <c r="H7" s="29"/>
      <c r="I7" s="97"/>
    </row>
    <row r="8" spans="1:14" x14ac:dyDescent="0.3">
      <c r="A8" s="149"/>
      <c r="B8" s="29"/>
      <c r="C8" s="29"/>
      <c r="D8" s="29"/>
      <c r="E8" s="29"/>
      <c r="F8" s="29"/>
      <c r="G8" s="29"/>
      <c r="H8" s="29"/>
      <c r="I8" s="97"/>
    </row>
    <row r="9" spans="1:14" x14ac:dyDescent="0.3">
      <c r="A9" s="592" t="s">
        <v>241</v>
      </c>
      <c r="B9" s="593"/>
      <c r="C9" s="593"/>
      <c r="D9" s="593"/>
      <c r="E9" s="593"/>
      <c r="F9" s="593"/>
      <c r="G9" s="593"/>
      <c r="H9" s="593"/>
      <c r="I9" s="594"/>
    </row>
    <row r="10" spans="1:14" x14ac:dyDescent="0.3">
      <c r="A10" s="98" t="s">
        <v>106</v>
      </c>
      <c r="B10" s="90" t="s">
        <v>107</v>
      </c>
      <c r="C10" s="90" t="s">
        <v>108</v>
      </c>
      <c r="D10" s="90" t="s">
        <v>109</v>
      </c>
      <c r="E10" s="90" t="s">
        <v>110</v>
      </c>
      <c r="F10" s="90" t="s">
        <v>111</v>
      </c>
      <c r="G10" s="90" t="s">
        <v>112</v>
      </c>
      <c r="H10" s="91" t="s">
        <v>113</v>
      </c>
      <c r="I10" s="99" t="s">
        <v>114</v>
      </c>
    </row>
    <row r="11" spans="1:14" x14ac:dyDescent="0.3">
      <c r="A11" s="98"/>
      <c r="B11" s="90"/>
      <c r="C11" s="90"/>
      <c r="D11" s="589" t="s">
        <v>222</v>
      </c>
      <c r="E11" s="590"/>
      <c r="F11" s="591"/>
      <c r="G11" s="90"/>
      <c r="H11" s="91"/>
      <c r="I11" s="99"/>
    </row>
    <row r="12" spans="1:14" ht="49.5" x14ac:dyDescent="0.3">
      <c r="A12" s="100" t="s">
        <v>12</v>
      </c>
      <c r="B12" s="93" t="s">
        <v>221</v>
      </c>
      <c r="C12" s="92" t="s">
        <v>115</v>
      </c>
      <c r="D12" s="93" t="s">
        <v>116</v>
      </c>
      <c r="E12" s="93" t="s">
        <v>117</v>
      </c>
      <c r="F12" s="93" t="s">
        <v>118</v>
      </c>
      <c r="G12" s="93" t="s">
        <v>225</v>
      </c>
      <c r="H12" s="93" t="s">
        <v>119</v>
      </c>
      <c r="I12" s="101" t="s">
        <v>226</v>
      </c>
      <c r="N12" s="152" t="s">
        <v>249</v>
      </c>
    </row>
    <row r="13" spans="1:14" ht="66" x14ac:dyDescent="0.3">
      <c r="A13" s="201">
        <v>1</v>
      </c>
      <c r="B13" s="202" t="s">
        <v>122</v>
      </c>
      <c r="C13" s="271" t="str">
        <f>+'PAA OCI  '!B20</f>
        <v>Alcaldía los Mártires - Avance Obra - Cumplimiento cronogramas y ejecución presupuestal</v>
      </c>
      <c r="D13" s="89">
        <v>16</v>
      </c>
      <c r="E13" s="89">
        <v>320</v>
      </c>
      <c r="F13" s="89">
        <v>24</v>
      </c>
      <c r="G13" s="89">
        <f>SUM(D13:F13)</f>
        <v>360</v>
      </c>
      <c r="H13" s="89">
        <v>1</v>
      </c>
      <c r="I13" s="102">
        <f>+G13*H13</f>
        <v>360</v>
      </c>
      <c r="N13" s="150" t="s">
        <v>120</v>
      </c>
    </row>
    <row r="14" spans="1:14" ht="66" x14ac:dyDescent="0.3">
      <c r="A14" s="201">
        <v>2</v>
      </c>
      <c r="B14" s="202" t="s">
        <v>122</v>
      </c>
      <c r="C14" s="271" t="str">
        <f>+'PAA OCI  '!B21</f>
        <v>Bronx Distrito Creativo  - Avance Obra - Cumplimiento cronogramas y ejecución presupuestal</v>
      </c>
      <c r="D14" s="89">
        <v>16</v>
      </c>
      <c r="E14" s="89">
        <v>320</v>
      </c>
      <c r="F14" s="89">
        <v>24</v>
      </c>
      <c r="G14" s="89">
        <f>SUM(D14:F14)</f>
        <v>360</v>
      </c>
      <c r="H14" s="89">
        <v>1</v>
      </c>
      <c r="I14" s="102">
        <f t="shared" ref="I14:I26" si="0">+G14*H14</f>
        <v>360</v>
      </c>
      <c r="N14" s="150" t="s">
        <v>121</v>
      </c>
    </row>
    <row r="15" spans="1:14" ht="82.5" x14ac:dyDescent="0.3">
      <c r="A15" s="201">
        <v>3</v>
      </c>
      <c r="B15" s="202" t="s">
        <v>122</v>
      </c>
      <c r="C15" s="271" t="str">
        <f>+'PAA OCI  '!B22</f>
        <v>Centro de Formación para el trabajo (SENA)  - Avance Obra - Cumplimiento cronogramas y ejecución presupuestal</v>
      </c>
      <c r="D15" s="89">
        <v>16</v>
      </c>
      <c r="E15" s="89">
        <v>320</v>
      </c>
      <c r="F15" s="89">
        <v>24</v>
      </c>
      <c r="G15" s="89">
        <f t="shared" ref="G15:G79" si="1">SUM(D15:F15)</f>
        <v>360</v>
      </c>
      <c r="H15" s="89">
        <v>1</v>
      </c>
      <c r="I15" s="102">
        <f t="shared" si="0"/>
        <v>360</v>
      </c>
      <c r="N15" s="150" t="s">
        <v>122</v>
      </c>
    </row>
    <row r="16" spans="1:14" ht="49.5" x14ac:dyDescent="0.3">
      <c r="A16" s="201">
        <v>4</v>
      </c>
      <c r="B16" s="202" t="s">
        <v>122</v>
      </c>
      <c r="C16" s="271" t="str">
        <f>+'PAA OCI  '!B23</f>
        <v>Direccionamiento Estratégico y Gobierno Corporativo</v>
      </c>
      <c r="D16" s="89">
        <v>16</v>
      </c>
      <c r="E16" s="89">
        <v>320</v>
      </c>
      <c r="F16" s="89">
        <v>24</v>
      </c>
      <c r="G16" s="89">
        <f t="shared" si="1"/>
        <v>360</v>
      </c>
      <c r="H16" s="89">
        <v>1</v>
      </c>
      <c r="I16" s="102">
        <f t="shared" si="0"/>
        <v>360</v>
      </c>
      <c r="N16" s="150" t="s">
        <v>250</v>
      </c>
    </row>
    <row r="17" spans="1:14" ht="33" x14ac:dyDescent="0.3">
      <c r="A17" s="201">
        <v>5</v>
      </c>
      <c r="B17" s="202" t="s">
        <v>122</v>
      </c>
      <c r="C17" s="271" t="str">
        <f>+'PAA OCI  '!B24</f>
        <v>Seguimiento Cumplimiento Norma Archivística ERU</v>
      </c>
      <c r="D17" s="89">
        <v>16</v>
      </c>
      <c r="E17" s="89">
        <v>320</v>
      </c>
      <c r="F17" s="89">
        <v>24</v>
      </c>
      <c r="G17" s="89">
        <f t="shared" si="1"/>
        <v>360</v>
      </c>
      <c r="H17" s="89">
        <v>1</v>
      </c>
      <c r="I17" s="102">
        <f t="shared" si="0"/>
        <v>360</v>
      </c>
      <c r="N17" s="150" t="s">
        <v>251</v>
      </c>
    </row>
    <row r="18" spans="1:14" x14ac:dyDescent="0.3">
      <c r="A18" s="201">
        <v>6</v>
      </c>
      <c r="B18" s="202" t="s">
        <v>122</v>
      </c>
      <c r="C18" s="271" t="str">
        <f>+'PAA OCI  '!B25</f>
        <v xml:space="preserve">Auditoria Gestión Suelo </v>
      </c>
      <c r="D18" s="89">
        <v>16</v>
      </c>
      <c r="E18" s="89">
        <v>320</v>
      </c>
      <c r="F18" s="89">
        <v>24</v>
      </c>
      <c r="G18" s="89">
        <f t="shared" si="1"/>
        <v>360</v>
      </c>
      <c r="H18" s="89">
        <v>1</v>
      </c>
      <c r="I18" s="102">
        <f t="shared" si="0"/>
        <v>360</v>
      </c>
    </row>
    <row r="19" spans="1:14" ht="33" x14ac:dyDescent="0.3">
      <c r="A19" s="201">
        <v>7</v>
      </c>
      <c r="B19" s="202" t="s">
        <v>122</v>
      </c>
      <c r="C19" s="271" t="str">
        <f>+'PAA OCI  '!B26</f>
        <v xml:space="preserve">Sistema de Información Misional </v>
      </c>
      <c r="D19" s="89">
        <v>16</v>
      </c>
      <c r="E19" s="89">
        <v>320</v>
      </c>
      <c r="F19" s="89">
        <v>24</v>
      </c>
      <c r="G19" s="89">
        <f t="shared" si="1"/>
        <v>360</v>
      </c>
      <c r="H19" s="422">
        <v>1</v>
      </c>
      <c r="I19" s="423">
        <f>+G19*H19</f>
        <v>360</v>
      </c>
    </row>
    <row r="20" spans="1:14" ht="33" x14ac:dyDescent="0.3">
      <c r="A20" s="201">
        <v>8</v>
      </c>
      <c r="B20" s="202" t="s">
        <v>122</v>
      </c>
      <c r="C20" s="271" t="str">
        <f>+'PAA OCI  '!B28</f>
        <v>Seguimiento Ejecución y avance de proyectos</v>
      </c>
      <c r="D20" s="89">
        <v>16</v>
      </c>
      <c r="E20" s="89">
        <v>320</v>
      </c>
      <c r="F20" s="89">
        <v>24</v>
      </c>
      <c r="G20" s="89">
        <f t="shared" si="1"/>
        <v>360</v>
      </c>
      <c r="H20" s="89">
        <v>1</v>
      </c>
      <c r="I20" s="423">
        <f>+G20*H20</f>
        <v>360</v>
      </c>
    </row>
    <row r="21" spans="1:14" ht="82.5" x14ac:dyDescent="0.3">
      <c r="A21" s="201">
        <v>9</v>
      </c>
      <c r="B21" s="202" t="s">
        <v>122</v>
      </c>
      <c r="C21" s="272" t="str">
        <f>+'PAA OCI  '!B30</f>
        <v>Asesoría y seguimiento a la Implementación del Sistema de Gestión de Calidad bajo concepto del estándar NTC ISO 9001:2015</v>
      </c>
      <c r="D21" s="204">
        <v>72</v>
      </c>
      <c r="E21" s="204">
        <v>200</v>
      </c>
      <c r="F21" s="204">
        <v>80</v>
      </c>
      <c r="G21" s="89">
        <f>SUM(D21:F21)</f>
        <v>352</v>
      </c>
      <c r="H21" s="204">
        <v>1</v>
      </c>
      <c r="I21" s="102">
        <f t="shared" si="0"/>
        <v>352</v>
      </c>
    </row>
    <row r="22" spans="1:14" ht="132" x14ac:dyDescent="0.3">
      <c r="A22" s="201">
        <v>10</v>
      </c>
      <c r="B22" s="202" t="s">
        <v>122</v>
      </c>
      <c r="C22" s="272" t="str">
        <f>+'PAA OCI  '!B31</f>
        <v>Participar en la verificación de la Conformidad del  Sistema de Gestión de la Calidad bajo el concepto del estándar NTC ISO 9001:2015 de la Empresa (Ciclo  Auditorias Internas de Calidad 2022).</v>
      </c>
      <c r="D22" s="204">
        <v>72</v>
      </c>
      <c r="E22" s="204">
        <v>200</v>
      </c>
      <c r="F22" s="204">
        <v>80</v>
      </c>
      <c r="G22" s="89">
        <f>SUM(D22:F22)</f>
        <v>352</v>
      </c>
      <c r="H22" s="204">
        <v>1</v>
      </c>
      <c r="I22" s="102">
        <f t="shared" si="0"/>
        <v>352</v>
      </c>
    </row>
    <row r="23" spans="1:14" ht="66" x14ac:dyDescent="0.3">
      <c r="A23" s="201">
        <v>11</v>
      </c>
      <c r="B23" s="202" t="s">
        <v>120</v>
      </c>
      <c r="C23" s="273" t="str">
        <f>+'PAA OCI  '!B33</f>
        <v>Seguimiento y Control de Acciones de Plan Anticorrupción y Atención al Ciudadano</v>
      </c>
      <c r="D23" s="204">
        <v>32</v>
      </c>
      <c r="E23" s="204">
        <v>40</v>
      </c>
      <c r="F23" s="204">
        <v>8</v>
      </c>
      <c r="G23" s="89">
        <f t="shared" si="1"/>
        <v>80</v>
      </c>
      <c r="H23" s="204">
        <v>3</v>
      </c>
      <c r="I23" s="102">
        <f t="shared" si="0"/>
        <v>240</v>
      </c>
    </row>
    <row r="24" spans="1:14" ht="33" x14ac:dyDescent="0.3">
      <c r="A24" s="201">
        <v>12</v>
      </c>
      <c r="B24" s="202" t="s">
        <v>120</v>
      </c>
      <c r="C24" s="273" t="str">
        <f>+'PAA OCI  '!B34</f>
        <v>Seguimiento Estrategia Anti trámite</v>
      </c>
      <c r="D24" s="204">
        <f>8*4</f>
        <v>32</v>
      </c>
      <c r="E24" s="204">
        <f>5*8</f>
        <v>40</v>
      </c>
      <c r="F24" s="204">
        <v>8</v>
      </c>
      <c r="G24" s="89">
        <f t="shared" si="1"/>
        <v>80</v>
      </c>
      <c r="H24" s="204">
        <v>1</v>
      </c>
      <c r="I24" s="102">
        <f t="shared" si="0"/>
        <v>80</v>
      </c>
    </row>
    <row r="25" spans="1:14" ht="66" x14ac:dyDescent="0.3">
      <c r="A25" s="201">
        <v>13</v>
      </c>
      <c r="B25" s="202" t="s">
        <v>120</v>
      </c>
      <c r="C25" s="273" t="str">
        <f>+'PAA OCI  '!B35</f>
        <v>Seguimientos a publicaciones de la Contratación en la Plataforma SECOP</v>
      </c>
      <c r="D25" s="204">
        <f>8*4</f>
        <v>32</v>
      </c>
      <c r="E25" s="204">
        <f>5*8</f>
        <v>40</v>
      </c>
      <c r="F25" s="204">
        <v>8</v>
      </c>
      <c r="G25" s="89">
        <f t="shared" si="1"/>
        <v>80</v>
      </c>
      <c r="H25" s="204">
        <v>3</v>
      </c>
      <c r="I25" s="102">
        <f t="shared" si="0"/>
        <v>240</v>
      </c>
    </row>
    <row r="26" spans="1:14" ht="49.5" x14ac:dyDescent="0.3">
      <c r="A26" s="201">
        <v>14</v>
      </c>
      <c r="B26" s="202" t="s">
        <v>120</v>
      </c>
      <c r="C26" s="273" t="str">
        <f>+'PAA OCI  '!B36</f>
        <v>Informe de evaluación del Sistema de Control Interno Contable</v>
      </c>
      <c r="D26" s="204">
        <v>40</v>
      </c>
      <c r="E26" s="204">
        <f>7*8</f>
        <v>56</v>
      </c>
      <c r="F26" s="204">
        <f>1.5*8</f>
        <v>12</v>
      </c>
      <c r="G26" s="89">
        <f t="shared" si="1"/>
        <v>108</v>
      </c>
      <c r="H26" s="204">
        <v>1</v>
      </c>
      <c r="I26" s="102">
        <f t="shared" si="0"/>
        <v>108</v>
      </c>
    </row>
    <row r="27" spans="1:14" ht="66" x14ac:dyDescent="0.3">
      <c r="A27" s="201">
        <v>15</v>
      </c>
      <c r="B27" s="202" t="s">
        <v>120</v>
      </c>
      <c r="C27" s="273" t="str">
        <f>+'PAA OCI  '!B37</f>
        <v>Informe Semestral de Evaluación Independiente del Sistema de Control Interno</v>
      </c>
      <c r="D27" s="204">
        <v>40</v>
      </c>
      <c r="E27" s="204">
        <f>7*8</f>
        <v>56</v>
      </c>
      <c r="F27" s="204">
        <f>1.5*8</f>
        <v>12</v>
      </c>
      <c r="G27" s="89">
        <f t="shared" si="1"/>
        <v>108</v>
      </c>
      <c r="H27" s="204">
        <v>1</v>
      </c>
      <c r="I27" s="151">
        <f>+G27*H27</f>
        <v>108</v>
      </c>
    </row>
    <row r="28" spans="1:14" ht="66" x14ac:dyDescent="0.3">
      <c r="A28" s="201">
        <v>16</v>
      </c>
      <c r="B28" s="202" t="s">
        <v>120</v>
      </c>
      <c r="C28" s="273" t="str">
        <f>+'PAA OCI  '!B38</f>
        <v>Seguimiento Comité de Defensa Judicial, Conciliación y Repetición y SIPROJ</v>
      </c>
      <c r="D28" s="204">
        <f>3.5*8</f>
        <v>28</v>
      </c>
      <c r="E28" s="204">
        <f>7*8</f>
        <v>56</v>
      </c>
      <c r="F28" s="204">
        <f>1.5*8</f>
        <v>12</v>
      </c>
      <c r="G28" s="89">
        <f t="shared" si="1"/>
        <v>96</v>
      </c>
      <c r="H28" s="204">
        <v>2</v>
      </c>
      <c r="I28" s="151">
        <f t="shared" ref="I28:I63" si="2">+G28*H28</f>
        <v>192</v>
      </c>
    </row>
    <row r="29" spans="1:14" ht="148.5" x14ac:dyDescent="0.3">
      <c r="A29" s="201">
        <v>17</v>
      </c>
      <c r="B29" s="202" t="s">
        <v>120</v>
      </c>
      <c r="C29" s="273" t="str">
        <f>+'PAA OCI  '!B39</f>
        <v>Seguimiento a Directrices para Prevenir Conductas Irregulares sobre Incumplimiento de Manuales de Funciones y de Procedimientos y Pérdida de Elementos y Documentos Público. Directiva 008 de 2021</v>
      </c>
      <c r="D29" s="204">
        <v>24</v>
      </c>
      <c r="E29" s="204">
        <v>24</v>
      </c>
      <c r="F29" s="204">
        <v>8</v>
      </c>
      <c r="G29" s="89">
        <f t="shared" si="1"/>
        <v>56</v>
      </c>
      <c r="H29" s="204">
        <v>2</v>
      </c>
      <c r="I29" s="151">
        <f>+G29*H29</f>
        <v>112</v>
      </c>
    </row>
    <row r="30" spans="1:14" ht="82.5" x14ac:dyDescent="0.3">
      <c r="A30" s="201">
        <v>18</v>
      </c>
      <c r="B30" s="202" t="s">
        <v>120</v>
      </c>
      <c r="C30" s="273" t="str">
        <f>+'PAA OCI  '!B40</f>
        <v>Seguimiento a Peticiones, Quejas, Reclamos, Sugerencias y Felicitaciones - Derechos de Petición</v>
      </c>
      <c r="D30" s="204">
        <v>40</v>
      </c>
      <c r="E30" s="204">
        <f>7*8</f>
        <v>56</v>
      </c>
      <c r="F30" s="204">
        <f>1.5*8</f>
        <v>12</v>
      </c>
      <c r="G30" s="89">
        <f t="shared" si="1"/>
        <v>108</v>
      </c>
      <c r="H30" s="204">
        <v>2</v>
      </c>
      <c r="I30" s="151">
        <f t="shared" si="2"/>
        <v>216</v>
      </c>
    </row>
    <row r="31" spans="1:14" ht="66" x14ac:dyDescent="0.3">
      <c r="A31" s="201">
        <v>19</v>
      </c>
      <c r="B31" s="202" t="s">
        <v>120</v>
      </c>
      <c r="C31" s="273" t="str">
        <f>+'PAA OCI  '!B41</f>
        <v>Seguimiento Cuadro resumen auditorías externas e internas  realizadas</v>
      </c>
      <c r="D31" s="204">
        <v>40</v>
      </c>
      <c r="E31" s="204">
        <f>7*8</f>
        <v>56</v>
      </c>
      <c r="F31" s="204">
        <f>1.5*8</f>
        <v>12</v>
      </c>
      <c r="G31" s="89">
        <f t="shared" si="1"/>
        <v>108</v>
      </c>
      <c r="H31" s="204">
        <v>1</v>
      </c>
      <c r="I31" s="151">
        <f t="shared" si="2"/>
        <v>108</v>
      </c>
    </row>
    <row r="32" spans="1:14" ht="66" x14ac:dyDescent="0.3">
      <c r="A32" s="201">
        <v>20</v>
      </c>
      <c r="B32" s="202" t="s">
        <v>120</v>
      </c>
      <c r="C32" s="273" t="str">
        <f>+'PAA OCI  '!B42</f>
        <v>Seguimiento Estado de Cumplimiento Metas Plan de Desarrollo e Indicadores</v>
      </c>
      <c r="D32" s="204">
        <v>40</v>
      </c>
      <c r="E32" s="204">
        <f>7*8</f>
        <v>56</v>
      </c>
      <c r="F32" s="204">
        <f>1.5*8</f>
        <v>12</v>
      </c>
      <c r="G32" s="89">
        <f t="shared" si="1"/>
        <v>108</v>
      </c>
      <c r="H32" s="204">
        <v>4</v>
      </c>
      <c r="I32" s="151">
        <f t="shared" si="2"/>
        <v>432</v>
      </c>
    </row>
    <row r="33" spans="1:9" ht="33" x14ac:dyDescent="0.3">
      <c r="A33" s="201">
        <v>21</v>
      </c>
      <c r="B33" s="202" t="s">
        <v>120</v>
      </c>
      <c r="C33" s="273" t="str">
        <f>+'PAA OCI  '!B43</f>
        <v>Seguimiento de Acuerdos de Gestión</v>
      </c>
      <c r="D33" s="204">
        <v>48</v>
      </c>
      <c r="E33" s="204">
        <v>48</v>
      </c>
      <c r="F33" s="204">
        <v>12</v>
      </c>
      <c r="G33" s="89">
        <f t="shared" si="1"/>
        <v>108</v>
      </c>
      <c r="H33" s="204">
        <v>2</v>
      </c>
      <c r="I33" s="151">
        <f t="shared" si="2"/>
        <v>216</v>
      </c>
    </row>
    <row r="34" spans="1:9" ht="99" x14ac:dyDescent="0.3">
      <c r="A34" s="201">
        <v>22</v>
      </c>
      <c r="B34" s="202" t="s">
        <v>120</v>
      </c>
      <c r="C34" s="273" t="str">
        <f>+'PAA OCI  '!B44</f>
        <v xml:space="preserve">Seguimiento a Verificación, Recomendaciones y Resultados sobre Cumplimiento de normas en materia de Derechos de Autor sobre Software </v>
      </c>
      <c r="D34" s="204">
        <f>2.5*8</f>
        <v>20</v>
      </c>
      <c r="E34" s="204">
        <f>3*8</f>
        <v>24</v>
      </c>
      <c r="F34" s="204">
        <f>2*8</f>
        <v>16</v>
      </c>
      <c r="G34" s="89">
        <f t="shared" si="1"/>
        <v>60</v>
      </c>
      <c r="H34" s="204">
        <v>1</v>
      </c>
      <c r="I34" s="151">
        <f t="shared" si="2"/>
        <v>60</v>
      </c>
    </row>
    <row r="35" spans="1:9" ht="33" x14ac:dyDescent="0.3">
      <c r="A35" s="201">
        <v>23</v>
      </c>
      <c r="B35" s="202" t="s">
        <v>120</v>
      </c>
      <c r="C35" s="273" t="str">
        <f>+'PAA OCI  '!B45</f>
        <v xml:space="preserve">Informe Integral de Gestión OCI </v>
      </c>
      <c r="D35" s="204">
        <v>32</v>
      </c>
      <c r="E35" s="204">
        <v>40</v>
      </c>
      <c r="F35" s="204">
        <v>8</v>
      </c>
      <c r="G35" s="89">
        <f t="shared" si="1"/>
        <v>80</v>
      </c>
      <c r="H35" s="204">
        <v>2</v>
      </c>
      <c r="I35" s="151">
        <f t="shared" si="2"/>
        <v>160</v>
      </c>
    </row>
    <row r="36" spans="1:9" ht="33" x14ac:dyDescent="0.3">
      <c r="A36" s="201">
        <v>24</v>
      </c>
      <c r="B36" s="202" t="s">
        <v>120</v>
      </c>
      <c r="C36" s="273" t="str">
        <f>+'PAA OCI  '!B46</f>
        <v>Seguimiento a la Austeridad en el Gasto</v>
      </c>
      <c r="D36" s="204">
        <v>40</v>
      </c>
      <c r="E36" s="204">
        <v>40</v>
      </c>
      <c r="F36" s="204">
        <v>12</v>
      </c>
      <c r="G36" s="89">
        <f t="shared" si="1"/>
        <v>92</v>
      </c>
      <c r="H36" s="204">
        <v>4</v>
      </c>
      <c r="I36" s="151">
        <f t="shared" si="2"/>
        <v>368</v>
      </c>
    </row>
    <row r="37" spans="1:9" ht="33" x14ac:dyDescent="0.3">
      <c r="A37" s="201">
        <v>25</v>
      </c>
      <c r="B37" s="202" t="s">
        <v>120</v>
      </c>
      <c r="C37" s="273" t="str">
        <f>+'PAA OCI  '!B47</f>
        <v>Evaluación de los Riesgos  de Corrupción</v>
      </c>
      <c r="D37" s="204">
        <v>48</v>
      </c>
      <c r="E37" s="204">
        <v>40</v>
      </c>
      <c r="F37" s="204">
        <v>12</v>
      </c>
      <c r="G37" s="89">
        <f t="shared" si="1"/>
        <v>100</v>
      </c>
      <c r="H37" s="204">
        <v>3</v>
      </c>
      <c r="I37" s="151">
        <f t="shared" si="2"/>
        <v>300</v>
      </c>
    </row>
    <row r="38" spans="1:9" ht="33" x14ac:dyDescent="0.3">
      <c r="A38" s="201">
        <v>26</v>
      </c>
      <c r="B38" s="202" t="s">
        <v>120</v>
      </c>
      <c r="C38" s="273" t="str">
        <f>+'PAA OCI  '!B48</f>
        <v>Evaluación de los Riesgos  de Gestión</v>
      </c>
      <c r="D38" s="204">
        <v>24</v>
      </c>
      <c r="E38" s="204">
        <v>20</v>
      </c>
      <c r="F38" s="204">
        <v>6</v>
      </c>
      <c r="G38" s="89">
        <f t="shared" si="1"/>
        <v>50</v>
      </c>
      <c r="H38" s="204">
        <v>2</v>
      </c>
      <c r="I38" s="151">
        <f t="shared" si="2"/>
        <v>100</v>
      </c>
    </row>
    <row r="39" spans="1:9" ht="66" x14ac:dyDescent="0.3">
      <c r="A39" s="201">
        <v>27</v>
      </c>
      <c r="B39" s="202" t="s">
        <v>120</v>
      </c>
      <c r="C39" s="273" t="str">
        <f>+'PAA OCI  '!B49</f>
        <v>Evaluación y Seguimiento Implementación MIPG  7 dimensiones y 18 políticas - e informes FURAG.</v>
      </c>
      <c r="D39" s="204">
        <f>8*8</f>
        <v>64</v>
      </c>
      <c r="E39" s="204">
        <v>40</v>
      </c>
      <c r="F39" s="204">
        <v>40</v>
      </c>
      <c r="G39" s="89">
        <f t="shared" si="1"/>
        <v>144</v>
      </c>
      <c r="H39" s="204">
        <v>1</v>
      </c>
      <c r="I39" s="151">
        <f t="shared" si="2"/>
        <v>144</v>
      </c>
    </row>
    <row r="40" spans="1:9" ht="33" x14ac:dyDescent="0.3">
      <c r="A40" s="201">
        <v>28</v>
      </c>
      <c r="B40" s="202" t="s">
        <v>120</v>
      </c>
      <c r="C40" s="273" t="str">
        <f>+'PAA OCI  '!B50</f>
        <v>Seguimiento Informes Gobierno Digital</v>
      </c>
      <c r="D40" s="204">
        <f>2.5*8</f>
        <v>20</v>
      </c>
      <c r="E40" s="204">
        <f>3*8</f>
        <v>24</v>
      </c>
      <c r="F40" s="204">
        <f>2*8</f>
        <v>16</v>
      </c>
      <c r="G40" s="89">
        <f t="shared" si="1"/>
        <v>60</v>
      </c>
      <c r="H40" s="204">
        <v>1</v>
      </c>
      <c r="I40" s="151">
        <f t="shared" si="2"/>
        <v>60</v>
      </c>
    </row>
    <row r="41" spans="1:9" ht="33" x14ac:dyDescent="0.3">
      <c r="A41" s="201">
        <v>29</v>
      </c>
      <c r="B41" s="202" t="s">
        <v>120</v>
      </c>
      <c r="C41" s="273" t="str">
        <f>+'PAA OCI  '!B51</f>
        <v>Seguimiento Comité de Sostenibilidad Contable</v>
      </c>
      <c r="D41" s="204">
        <v>40</v>
      </c>
      <c r="E41" s="204">
        <f>7*8</f>
        <v>56</v>
      </c>
      <c r="F41" s="204">
        <f>1.5*8</f>
        <v>12</v>
      </c>
      <c r="G41" s="89">
        <f t="shared" si="1"/>
        <v>108</v>
      </c>
      <c r="H41" s="204">
        <v>1</v>
      </c>
      <c r="I41" s="151">
        <f t="shared" si="2"/>
        <v>108</v>
      </c>
    </row>
    <row r="42" spans="1:9" ht="66" x14ac:dyDescent="0.3">
      <c r="A42" s="201">
        <v>30</v>
      </c>
      <c r="B42" s="202" t="s">
        <v>120</v>
      </c>
      <c r="C42" s="273" t="str">
        <f>+'PAA OCI  '!B52</f>
        <v>Seguimiento a la implementación  del Código de Integridad de la Empresa vigencia 2021</v>
      </c>
      <c r="D42" s="204">
        <v>32</v>
      </c>
      <c r="E42" s="204">
        <v>40</v>
      </c>
      <c r="F42" s="204">
        <v>8</v>
      </c>
      <c r="G42" s="89">
        <f t="shared" si="1"/>
        <v>80</v>
      </c>
      <c r="H42" s="204">
        <v>1</v>
      </c>
      <c r="I42" s="151">
        <f t="shared" si="2"/>
        <v>80</v>
      </c>
    </row>
    <row r="43" spans="1:9" ht="132" x14ac:dyDescent="0.3">
      <c r="A43" s="201">
        <v>31</v>
      </c>
      <c r="B43" s="202" t="s">
        <v>120</v>
      </c>
      <c r="C43" s="273" t="str">
        <f>+'PAA OCI  '!B53</f>
        <v xml:space="preserve">Seguimiento a la implementación del código de integridad de la Empresa vigencia 2023
Cumplimiento y eficacia de los programas de transparencia y ética empresarial. </v>
      </c>
      <c r="D43" s="204">
        <v>32</v>
      </c>
      <c r="E43" s="204">
        <v>40</v>
      </c>
      <c r="F43" s="204">
        <v>8</v>
      </c>
      <c r="G43" s="89">
        <f t="shared" si="1"/>
        <v>80</v>
      </c>
      <c r="H43" s="204">
        <v>1</v>
      </c>
      <c r="I43" s="151">
        <f t="shared" si="2"/>
        <v>80</v>
      </c>
    </row>
    <row r="44" spans="1:9" ht="66" x14ac:dyDescent="0.3">
      <c r="A44" s="201">
        <v>32</v>
      </c>
      <c r="B44" s="202" t="s">
        <v>120</v>
      </c>
      <c r="C44" s="273" t="str">
        <f>+'PAA OCI  '!B54</f>
        <v>Seguimiento Reporte - Ley e índice de Transparencia y Acceso a la Información - ITA.</v>
      </c>
      <c r="D44" s="204">
        <v>32</v>
      </c>
      <c r="E44" s="204">
        <v>40</v>
      </c>
      <c r="F44" s="204">
        <v>8</v>
      </c>
      <c r="G44" s="89">
        <f t="shared" si="1"/>
        <v>80</v>
      </c>
      <c r="H44" s="204">
        <v>1</v>
      </c>
      <c r="I44" s="151">
        <f t="shared" si="2"/>
        <v>80</v>
      </c>
    </row>
    <row r="45" spans="1:9" ht="33" x14ac:dyDescent="0.3">
      <c r="A45" s="201">
        <v>33</v>
      </c>
      <c r="B45" s="202" t="s">
        <v>120</v>
      </c>
      <c r="C45" s="273" t="str">
        <f>+'PAA OCI  '!B55</f>
        <v>Campaña de fomento de Autocontrol</v>
      </c>
      <c r="D45" s="204">
        <v>40</v>
      </c>
      <c r="E45" s="204">
        <f>2.5*8</f>
        <v>20</v>
      </c>
      <c r="F45" s="204">
        <f>8*4</f>
        <v>32</v>
      </c>
      <c r="G45" s="89">
        <f t="shared" si="1"/>
        <v>92</v>
      </c>
      <c r="H45" s="204">
        <v>2</v>
      </c>
      <c r="I45" s="151">
        <f t="shared" si="2"/>
        <v>184</v>
      </c>
    </row>
    <row r="46" spans="1:9" ht="66" x14ac:dyDescent="0.3">
      <c r="A46" s="201">
        <v>34</v>
      </c>
      <c r="B46" s="202" t="s">
        <v>120</v>
      </c>
      <c r="C46" s="273" t="str">
        <f>+'PAA OCI  '!B56</f>
        <v>Prestar los servicios de asesoría y acompañamiento requeridos</v>
      </c>
      <c r="D46" s="204">
        <v>2</v>
      </c>
      <c r="E46" s="204">
        <v>5</v>
      </c>
      <c r="F46" s="204">
        <v>0</v>
      </c>
      <c r="G46" s="89">
        <f t="shared" si="1"/>
        <v>7</v>
      </c>
      <c r="H46" s="204">
        <v>10</v>
      </c>
      <c r="I46" s="151">
        <f t="shared" si="2"/>
        <v>70</v>
      </c>
    </row>
    <row r="47" spans="1:9" ht="49.5" x14ac:dyDescent="0.3">
      <c r="A47" s="201">
        <v>35</v>
      </c>
      <c r="B47" s="202" t="s">
        <v>120</v>
      </c>
      <c r="C47" s="273" t="str">
        <f>+'PAA OCI  '!B57</f>
        <v>Diligenciamiento Encuestas Gobierno Corporativo - Veeduría Distrital.</v>
      </c>
      <c r="D47" s="204">
        <v>1</v>
      </c>
      <c r="E47" s="204">
        <v>1</v>
      </c>
      <c r="F47" s="204">
        <v>0</v>
      </c>
      <c r="G47" s="89">
        <f t="shared" si="1"/>
        <v>2</v>
      </c>
      <c r="H47" s="204">
        <v>3</v>
      </c>
      <c r="I47" s="151">
        <f t="shared" si="2"/>
        <v>6</v>
      </c>
    </row>
    <row r="48" spans="1:9" ht="49.5" x14ac:dyDescent="0.3">
      <c r="A48" s="201">
        <v>36</v>
      </c>
      <c r="B48" s="202" t="s">
        <v>120</v>
      </c>
      <c r="C48" s="273" t="str">
        <f>+'PAA OCI  '!B58</f>
        <v>Revisión Código de Ética del Auditor Interno, Estatuto Auditoría Interna.</v>
      </c>
      <c r="D48" s="204">
        <v>32</v>
      </c>
      <c r="E48" s="204">
        <v>40</v>
      </c>
      <c r="F48" s="204">
        <v>8</v>
      </c>
      <c r="G48" s="89">
        <f t="shared" si="1"/>
        <v>80</v>
      </c>
      <c r="H48" s="204">
        <v>1</v>
      </c>
      <c r="I48" s="151">
        <f t="shared" si="2"/>
        <v>80</v>
      </c>
    </row>
    <row r="49" spans="1:9" ht="49.5" x14ac:dyDescent="0.3">
      <c r="A49" s="201">
        <v>37</v>
      </c>
      <c r="B49" s="202" t="s">
        <v>120</v>
      </c>
      <c r="C49" s="273" t="str">
        <f>+'PAA OCI  '!B59</f>
        <v>Activos de Información y Funcionamiento Software que maneja la Empresa</v>
      </c>
      <c r="D49" s="204">
        <v>32</v>
      </c>
      <c r="E49" s="204">
        <v>40</v>
      </c>
      <c r="F49" s="204">
        <v>8</v>
      </c>
      <c r="G49" s="89">
        <f t="shared" si="1"/>
        <v>80</v>
      </c>
      <c r="H49" s="204">
        <v>1</v>
      </c>
      <c r="I49" s="151">
        <f t="shared" si="2"/>
        <v>80</v>
      </c>
    </row>
    <row r="50" spans="1:9" ht="33" x14ac:dyDescent="0.3">
      <c r="A50" s="201">
        <v>38</v>
      </c>
      <c r="B50" s="202" t="s">
        <v>120</v>
      </c>
      <c r="C50" s="273" t="str">
        <f>+'PAA OCI  '!B60</f>
        <v>Seguimiento Llíneas de Defensa</v>
      </c>
      <c r="D50" s="204">
        <v>32</v>
      </c>
      <c r="E50" s="204">
        <v>40</v>
      </c>
      <c r="F50" s="204">
        <v>8</v>
      </c>
      <c r="G50" s="89">
        <f t="shared" si="1"/>
        <v>80</v>
      </c>
      <c r="H50" s="204">
        <v>1</v>
      </c>
      <c r="I50" s="151">
        <f t="shared" si="2"/>
        <v>80</v>
      </c>
    </row>
    <row r="51" spans="1:9" ht="49.5" x14ac:dyDescent="0.3">
      <c r="A51" s="201">
        <v>39</v>
      </c>
      <c r="B51" s="202" t="s">
        <v>120</v>
      </c>
      <c r="C51" s="273" t="str">
        <f>+'PAA OCI  '!B61</f>
        <v>Seguimiento a la actualización de bases de datos en RNBD</v>
      </c>
      <c r="D51" s="204">
        <v>32</v>
      </c>
      <c r="E51" s="204">
        <v>40</v>
      </c>
      <c r="F51" s="204">
        <v>8</v>
      </c>
      <c r="G51" s="89">
        <f t="shared" si="1"/>
        <v>80</v>
      </c>
      <c r="H51" s="204">
        <v>1</v>
      </c>
      <c r="I51" s="423">
        <f>+G51*H51</f>
        <v>80</v>
      </c>
    </row>
    <row r="52" spans="1:9" ht="33" x14ac:dyDescent="0.3">
      <c r="A52" s="201">
        <v>40</v>
      </c>
      <c r="B52" s="202" t="s">
        <v>120</v>
      </c>
      <c r="C52" s="273" t="str">
        <f>+'PAA OCI  '!B62</f>
        <v>Programa Aseguramiento Calidad de la Auditoria</v>
      </c>
      <c r="D52" s="204">
        <v>16</v>
      </c>
      <c r="E52" s="204">
        <v>0</v>
      </c>
      <c r="F52" s="204">
        <v>40</v>
      </c>
      <c r="G52" s="89">
        <f t="shared" si="1"/>
        <v>56</v>
      </c>
      <c r="H52" s="204">
        <v>1</v>
      </c>
      <c r="I52" s="423">
        <f>+G52*H52</f>
        <v>56</v>
      </c>
    </row>
    <row r="53" spans="1:9" ht="49.5" x14ac:dyDescent="0.3">
      <c r="A53" s="201">
        <v>41</v>
      </c>
      <c r="B53" s="202" t="s">
        <v>120</v>
      </c>
      <c r="C53" s="273" t="str">
        <f>+'PAA OCI  '!B63</f>
        <v>Seguimiento Cajas Menores (SE EFECTUAN SIN PREVIO AVISO)</v>
      </c>
      <c r="D53" s="204">
        <v>8</v>
      </c>
      <c r="E53" s="204">
        <v>10</v>
      </c>
      <c r="F53" s="204">
        <v>6</v>
      </c>
      <c r="G53" s="89">
        <f t="shared" si="1"/>
        <v>24</v>
      </c>
      <c r="H53" s="204">
        <v>4</v>
      </c>
      <c r="I53" s="423">
        <f>+G53*H53</f>
        <v>96</v>
      </c>
    </row>
    <row r="54" spans="1:9" ht="33" x14ac:dyDescent="0.3">
      <c r="A54" s="201">
        <v>42</v>
      </c>
      <c r="B54" s="202" t="s">
        <v>120</v>
      </c>
      <c r="C54" s="273" t="str">
        <f>+'PAA OCI  '!B64</f>
        <v>Seguimiento Plan de Mejoramiento por Procesos</v>
      </c>
      <c r="D54" s="204">
        <v>8</v>
      </c>
      <c r="E54" s="204">
        <v>16</v>
      </c>
      <c r="F54" s="204">
        <v>4</v>
      </c>
      <c r="G54" s="89">
        <f t="shared" si="1"/>
        <v>28</v>
      </c>
      <c r="H54" s="204">
        <v>4</v>
      </c>
      <c r="I54" s="423">
        <f>+G54*H54</f>
        <v>112</v>
      </c>
    </row>
    <row r="55" spans="1:9" ht="33" x14ac:dyDescent="0.3">
      <c r="A55" s="201">
        <v>43</v>
      </c>
      <c r="B55" s="202" t="s">
        <v>120</v>
      </c>
      <c r="C55" s="273" t="str">
        <f>+'PAA OCI  '!B65</f>
        <v>Seguimiento Directiva 015 de 2022</v>
      </c>
      <c r="D55" s="204">
        <v>8</v>
      </c>
      <c r="E55" s="204">
        <v>16</v>
      </c>
      <c r="F55" s="204">
        <v>8</v>
      </c>
      <c r="G55" s="89">
        <f>SUM(D55:F55)</f>
        <v>32</v>
      </c>
      <c r="H55" s="424">
        <v>1</v>
      </c>
      <c r="I55" s="423">
        <f>+G55*H55</f>
        <v>32</v>
      </c>
    </row>
    <row r="56" spans="1:9" ht="49.5" x14ac:dyDescent="0.3">
      <c r="A56" s="201">
        <v>44</v>
      </c>
      <c r="B56" s="202" t="s">
        <v>250</v>
      </c>
      <c r="C56" s="274" t="str">
        <f>+'PAA OCI  '!B67</f>
        <v>Asistencia y Participación en los Comités Institucionales</v>
      </c>
      <c r="D56" s="204">
        <v>1</v>
      </c>
      <c r="E56" s="204">
        <v>2</v>
      </c>
      <c r="F56" s="204">
        <v>0</v>
      </c>
      <c r="G56" s="89">
        <f t="shared" si="1"/>
        <v>3</v>
      </c>
      <c r="H56" s="204">
        <v>30</v>
      </c>
      <c r="I56" s="151">
        <f t="shared" si="2"/>
        <v>90</v>
      </c>
    </row>
    <row r="57" spans="1:9" ht="49.5" x14ac:dyDescent="0.3">
      <c r="A57" s="201">
        <v>45</v>
      </c>
      <c r="B57" s="202" t="s">
        <v>250</v>
      </c>
      <c r="C57" s="274" t="str">
        <f>+'PAA OCI  '!B68</f>
        <v>Reuniones de Autoevaluación Proceso (quincenal)</v>
      </c>
      <c r="D57" s="204">
        <v>1</v>
      </c>
      <c r="E57" s="204">
        <v>2</v>
      </c>
      <c r="F57" s="204">
        <v>1</v>
      </c>
      <c r="G57" s="89">
        <f t="shared" si="1"/>
        <v>4</v>
      </c>
      <c r="H57" s="204">
        <v>24</v>
      </c>
      <c r="I57" s="151">
        <f t="shared" si="2"/>
        <v>96</v>
      </c>
    </row>
    <row r="58" spans="1:9" ht="198" x14ac:dyDescent="0.3">
      <c r="A58" s="201">
        <v>46</v>
      </c>
      <c r="B58" s="202" t="s">
        <v>250</v>
      </c>
      <c r="C58" s="274" t="str">
        <f>+'PAA OCI  '!B69</f>
        <v>Revisión y actualización del Proceso Evaluación y Seguimiento: Revisión procedimientos, instructivos, formatos, indicadores y riesgos del proceso, asignación y seguimiento  de tareas y actividades programadas, determinación de directrices e instrucciones al grupo de trabajo</v>
      </c>
      <c r="D58" s="204">
        <v>32</v>
      </c>
      <c r="E58" s="204">
        <v>40</v>
      </c>
      <c r="F58" s="204">
        <v>0</v>
      </c>
      <c r="G58" s="89">
        <f t="shared" si="1"/>
        <v>72</v>
      </c>
      <c r="H58" s="204">
        <v>4</v>
      </c>
      <c r="I58" s="151">
        <f t="shared" si="2"/>
        <v>288</v>
      </c>
    </row>
    <row r="59" spans="1:9" ht="82.5" x14ac:dyDescent="0.3">
      <c r="A59" s="201">
        <v>47</v>
      </c>
      <c r="B59" s="202" t="s">
        <v>121</v>
      </c>
      <c r="C59" s="275" t="str">
        <f>+'PAA OCI  '!B76</f>
        <v>Atención Vistas – Entes de Control - Atención requerimientos entes de control conforme a las competencias de la OCI</v>
      </c>
      <c r="D59" s="204">
        <v>1</v>
      </c>
      <c r="E59" s="204">
        <v>1</v>
      </c>
      <c r="F59" s="204">
        <v>1</v>
      </c>
      <c r="G59" s="89">
        <f t="shared" si="1"/>
        <v>3</v>
      </c>
      <c r="H59" s="204">
        <v>12</v>
      </c>
      <c r="I59" s="151">
        <f t="shared" si="2"/>
        <v>36</v>
      </c>
    </row>
    <row r="60" spans="1:9" ht="66" x14ac:dyDescent="0.3">
      <c r="A60" s="201">
        <v>48</v>
      </c>
      <c r="B60" s="202" t="s">
        <v>121</v>
      </c>
      <c r="C60" s="275" t="str">
        <f>+'PAA OCI  '!B71</f>
        <v>Auditoría de Control Fiscal en la Modalidad de Regularidad PAD 2023 Vigencia 2022</v>
      </c>
      <c r="D60" s="204">
        <v>16</v>
      </c>
      <c r="E60" s="204">
        <v>40</v>
      </c>
      <c r="F60" s="204">
        <v>3</v>
      </c>
      <c r="G60" s="89">
        <f t="shared" si="1"/>
        <v>59</v>
      </c>
      <c r="H60" s="204">
        <v>1</v>
      </c>
      <c r="I60" s="151">
        <f t="shared" si="2"/>
        <v>59</v>
      </c>
    </row>
    <row r="61" spans="1:9" ht="49.5" x14ac:dyDescent="0.3">
      <c r="A61" s="201">
        <v>49</v>
      </c>
      <c r="B61" s="202" t="s">
        <v>121</v>
      </c>
      <c r="C61" s="275" t="str">
        <f>+'PAA OCI  '!B72</f>
        <v>Auditoría de Control Fiscal en la Modalidad de Cumplimiento -Vivienda</v>
      </c>
      <c r="D61" s="204">
        <v>16</v>
      </c>
      <c r="E61" s="204">
        <v>40</v>
      </c>
      <c r="F61" s="204">
        <v>3</v>
      </c>
      <c r="G61" s="89">
        <f t="shared" si="1"/>
        <v>59</v>
      </c>
      <c r="H61" s="204">
        <v>1</v>
      </c>
      <c r="I61" s="151">
        <f t="shared" si="2"/>
        <v>59</v>
      </c>
    </row>
    <row r="62" spans="1:9" ht="49.5" x14ac:dyDescent="0.3">
      <c r="A62" s="201">
        <v>50</v>
      </c>
      <c r="B62" s="202" t="s">
        <v>121</v>
      </c>
      <c r="C62" s="275" t="str">
        <f>+'PAA OCI  '!B73</f>
        <v>Auditoría de Control Fiscal en la Modalidad de Desempeño</v>
      </c>
      <c r="D62" s="204">
        <v>16</v>
      </c>
      <c r="E62" s="204">
        <v>40</v>
      </c>
      <c r="F62" s="204">
        <v>3</v>
      </c>
      <c r="G62" s="89">
        <f t="shared" si="1"/>
        <v>59</v>
      </c>
      <c r="H62" s="204">
        <v>1</v>
      </c>
      <c r="I62" s="151">
        <f t="shared" si="2"/>
        <v>59</v>
      </c>
    </row>
    <row r="63" spans="1:9" ht="33" x14ac:dyDescent="0.3">
      <c r="A63" s="201">
        <v>51</v>
      </c>
      <c r="B63" s="202" t="s">
        <v>121</v>
      </c>
      <c r="C63" s="275" t="str">
        <f>+'PAA OCI  '!B74</f>
        <v>Visitas Administrativas de Control Fiscal</v>
      </c>
      <c r="D63" s="204">
        <v>16</v>
      </c>
      <c r="E63" s="204">
        <v>40</v>
      </c>
      <c r="F63" s="204">
        <v>3</v>
      </c>
      <c r="G63" s="89">
        <f t="shared" si="1"/>
        <v>59</v>
      </c>
      <c r="H63" s="204">
        <v>1</v>
      </c>
      <c r="I63" s="151">
        <f t="shared" si="2"/>
        <v>59</v>
      </c>
    </row>
    <row r="64" spans="1:9" x14ac:dyDescent="0.3">
      <c r="A64" s="201">
        <v>52</v>
      </c>
      <c r="B64" s="202" t="s">
        <v>121</v>
      </c>
      <c r="C64" s="275" t="e">
        <f>+'PAA OCI  '!#REF!</f>
        <v>#REF!</v>
      </c>
      <c r="D64" s="204">
        <v>16</v>
      </c>
      <c r="E64" s="204">
        <v>40</v>
      </c>
      <c r="F64" s="204">
        <v>3</v>
      </c>
      <c r="G64" s="89">
        <f>SUM(D64:F64)</f>
        <v>59</v>
      </c>
      <c r="H64" s="204">
        <v>2</v>
      </c>
      <c r="I64" s="289">
        <f>+G64*H64</f>
        <v>118</v>
      </c>
    </row>
    <row r="65" spans="1:9" ht="33" x14ac:dyDescent="0.3">
      <c r="A65" s="201">
        <v>53</v>
      </c>
      <c r="B65" s="202" t="s">
        <v>121</v>
      </c>
      <c r="C65" s="275" t="str">
        <f>+'PAA OCI  '!B75</f>
        <v>Seguimiento Plan de Mejoramiento Contraloría</v>
      </c>
      <c r="D65" s="204">
        <v>10</v>
      </c>
      <c r="E65" s="204">
        <v>20</v>
      </c>
      <c r="F65" s="204">
        <v>8</v>
      </c>
      <c r="G65" s="89">
        <f t="shared" si="1"/>
        <v>38</v>
      </c>
      <c r="H65" s="204">
        <v>4</v>
      </c>
      <c r="I65" s="151">
        <f t="shared" ref="I65:I96" si="3">+G65*H65</f>
        <v>152</v>
      </c>
    </row>
    <row r="66" spans="1:9" ht="33" x14ac:dyDescent="0.3">
      <c r="A66" s="201">
        <v>54</v>
      </c>
      <c r="B66" s="202" t="s">
        <v>120</v>
      </c>
      <c r="C66" s="275" t="str">
        <f>+'PAA OCI  '!B77</f>
        <v>Trasmisión Cuenta Mensual Contraloría</v>
      </c>
      <c r="D66" s="204">
        <f>1.5*8</f>
        <v>12</v>
      </c>
      <c r="E66" s="204">
        <v>8</v>
      </c>
      <c r="F66" s="204">
        <f>0.5*8</f>
        <v>4</v>
      </c>
      <c r="G66" s="89">
        <f t="shared" si="1"/>
        <v>24</v>
      </c>
      <c r="H66" s="204">
        <v>12</v>
      </c>
      <c r="I66" s="151">
        <f t="shared" si="3"/>
        <v>288</v>
      </c>
    </row>
    <row r="67" spans="1:9" ht="49.5" x14ac:dyDescent="0.3">
      <c r="A67" s="201">
        <v>55</v>
      </c>
      <c r="B67" s="202" t="s">
        <v>120</v>
      </c>
      <c r="C67" s="275" t="str">
        <f>+'PAA OCI  '!B78</f>
        <v>Asesoría, acompañamiento  y Trasmisión Cuenta Anual Contraloría</v>
      </c>
      <c r="D67" s="204">
        <v>40</v>
      </c>
      <c r="E67" s="204">
        <v>45</v>
      </c>
      <c r="F67" s="204">
        <v>8</v>
      </c>
      <c r="G67" s="89">
        <f t="shared" si="1"/>
        <v>93</v>
      </c>
      <c r="H67" s="204">
        <v>1</v>
      </c>
      <c r="I67" s="151">
        <f t="shared" si="3"/>
        <v>93</v>
      </c>
    </row>
    <row r="68" spans="1:9" ht="66" x14ac:dyDescent="0.3">
      <c r="A68" s="201">
        <v>56</v>
      </c>
      <c r="B68" s="202" t="s">
        <v>250</v>
      </c>
      <c r="C68" s="275" t="str">
        <f>+'PAA OCI  '!B79</f>
        <v>Reparto, seguimiento, revisión y registro de respuestas a Entes Externos de Control</v>
      </c>
      <c r="D68" s="204">
        <v>2</v>
      </c>
      <c r="E68" s="204">
        <v>8</v>
      </c>
      <c r="F68" s="204">
        <v>2</v>
      </c>
      <c r="G68" s="89">
        <f t="shared" si="1"/>
        <v>12</v>
      </c>
      <c r="H68" s="204">
        <v>582</v>
      </c>
      <c r="I68" s="151">
        <f t="shared" si="3"/>
        <v>6984</v>
      </c>
    </row>
    <row r="69" spans="1:9" x14ac:dyDescent="0.3">
      <c r="A69" s="201">
        <v>57</v>
      </c>
      <c r="B69" s="202"/>
      <c r="C69" s="203"/>
      <c r="D69" s="204"/>
      <c r="E69" s="204"/>
      <c r="F69" s="204"/>
      <c r="G69" s="89">
        <f t="shared" si="1"/>
        <v>0</v>
      </c>
      <c r="H69" s="204"/>
      <c r="I69" s="151">
        <f t="shared" si="3"/>
        <v>0</v>
      </c>
    </row>
    <row r="70" spans="1:9" x14ac:dyDescent="0.3">
      <c r="A70" s="201">
        <v>58</v>
      </c>
      <c r="B70" s="202"/>
      <c r="C70" s="280"/>
      <c r="D70" s="204"/>
      <c r="E70" s="204"/>
      <c r="F70" s="204"/>
      <c r="G70" s="89">
        <f t="shared" si="1"/>
        <v>0</v>
      </c>
      <c r="H70" s="204"/>
      <c r="I70" s="151">
        <f t="shared" si="3"/>
        <v>0</v>
      </c>
    </row>
    <row r="71" spans="1:9" x14ac:dyDescent="0.3">
      <c r="A71" s="201">
        <v>59</v>
      </c>
      <c r="B71" s="202"/>
      <c r="C71" s="204"/>
      <c r="D71" s="204"/>
      <c r="E71" s="204"/>
      <c r="F71" s="204"/>
      <c r="G71" s="89">
        <f t="shared" si="1"/>
        <v>0</v>
      </c>
      <c r="H71" s="204"/>
      <c r="I71" s="151">
        <f t="shared" si="3"/>
        <v>0</v>
      </c>
    </row>
    <row r="72" spans="1:9" x14ac:dyDescent="0.3">
      <c r="A72" s="201">
        <v>60</v>
      </c>
      <c r="B72" s="202"/>
      <c r="C72" s="204"/>
      <c r="D72" s="204"/>
      <c r="E72" s="204"/>
      <c r="F72" s="204"/>
      <c r="G72" s="89">
        <f t="shared" si="1"/>
        <v>0</v>
      </c>
      <c r="H72" s="204"/>
      <c r="I72" s="151">
        <f t="shared" si="3"/>
        <v>0</v>
      </c>
    </row>
    <row r="73" spans="1:9" x14ac:dyDescent="0.3">
      <c r="A73" s="201">
        <v>61</v>
      </c>
      <c r="B73" s="202"/>
      <c r="C73" s="204"/>
      <c r="D73" s="204"/>
      <c r="E73" s="204"/>
      <c r="F73" s="204"/>
      <c r="G73" s="89">
        <f t="shared" si="1"/>
        <v>0</v>
      </c>
      <c r="H73" s="204"/>
      <c r="I73" s="151">
        <f t="shared" si="3"/>
        <v>0</v>
      </c>
    </row>
    <row r="74" spans="1:9" x14ac:dyDescent="0.3">
      <c r="A74" s="201">
        <v>62</v>
      </c>
      <c r="B74" s="202"/>
      <c r="C74" s="204"/>
      <c r="D74" s="204"/>
      <c r="E74" s="204"/>
      <c r="F74" s="204"/>
      <c r="G74" s="89">
        <f t="shared" si="1"/>
        <v>0</v>
      </c>
      <c r="H74" s="204"/>
      <c r="I74" s="151">
        <f t="shared" si="3"/>
        <v>0</v>
      </c>
    </row>
    <row r="75" spans="1:9" x14ac:dyDescent="0.3">
      <c r="A75" s="201">
        <v>63</v>
      </c>
      <c r="B75" s="202"/>
      <c r="C75" s="204"/>
      <c r="D75" s="204"/>
      <c r="E75" s="204"/>
      <c r="F75" s="204"/>
      <c r="G75" s="89">
        <f t="shared" si="1"/>
        <v>0</v>
      </c>
      <c r="H75" s="204"/>
      <c r="I75" s="151">
        <f t="shared" si="3"/>
        <v>0</v>
      </c>
    </row>
    <row r="76" spans="1:9" x14ac:dyDescent="0.3">
      <c r="A76" s="201">
        <v>64</v>
      </c>
      <c r="B76" s="202"/>
      <c r="C76" s="203"/>
      <c r="D76" s="204"/>
      <c r="E76" s="204"/>
      <c r="F76" s="204"/>
      <c r="G76" s="89">
        <f t="shared" si="1"/>
        <v>0</v>
      </c>
      <c r="H76" s="204"/>
      <c r="I76" s="151">
        <f t="shared" si="3"/>
        <v>0</v>
      </c>
    </row>
    <row r="77" spans="1:9" x14ac:dyDescent="0.3">
      <c r="A77" s="201">
        <v>65</v>
      </c>
      <c r="B77" s="202"/>
      <c r="C77" s="203"/>
      <c r="D77" s="204"/>
      <c r="E77" s="204"/>
      <c r="F77" s="204"/>
      <c r="G77" s="89">
        <f t="shared" si="1"/>
        <v>0</v>
      </c>
      <c r="H77" s="204"/>
      <c r="I77" s="151">
        <f t="shared" si="3"/>
        <v>0</v>
      </c>
    </row>
    <row r="78" spans="1:9" x14ac:dyDescent="0.3">
      <c r="A78" s="201">
        <v>66</v>
      </c>
      <c r="B78" s="202"/>
      <c r="C78" s="203"/>
      <c r="D78" s="204"/>
      <c r="E78" s="204"/>
      <c r="F78" s="204"/>
      <c r="G78" s="89">
        <f t="shared" si="1"/>
        <v>0</v>
      </c>
      <c r="H78" s="204"/>
      <c r="I78" s="151">
        <f t="shared" si="3"/>
        <v>0</v>
      </c>
    </row>
    <row r="79" spans="1:9" x14ac:dyDescent="0.3">
      <c r="A79" s="201">
        <v>67</v>
      </c>
      <c r="B79" s="202"/>
      <c r="C79" s="203"/>
      <c r="D79" s="204"/>
      <c r="E79" s="204"/>
      <c r="F79" s="204"/>
      <c r="G79" s="89">
        <f t="shared" si="1"/>
        <v>0</v>
      </c>
      <c r="H79" s="204"/>
      <c r="I79" s="151">
        <f t="shared" si="3"/>
        <v>0</v>
      </c>
    </row>
    <row r="80" spans="1:9" x14ac:dyDescent="0.3">
      <c r="A80" s="201">
        <v>68</v>
      </c>
      <c r="B80" s="202"/>
      <c r="C80" s="203"/>
      <c r="D80" s="204"/>
      <c r="E80" s="204"/>
      <c r="F80" s="204"/>
      <c r="G80" s="89">
        <f t="shared" ref="G80:G92" si="4">SUM(D80:F80)</f>
        <v>0</v>
      </c>
      <c r="H80" s="204"/>
      <c r="I80" s="151">
        <f t="shared" si="3"/>
        <v>0</v>
      </c>
    </row>
    <row r="81" spans="1:9" x14ac:dyDescent="0.3">
      <c r="A81" s="201">
        <v>69</v>
      </c>
      <c r="B81" s="202"/>
      <c r="C81" s="203"/>
      <c r="D81" s="204"/>
      <c r="E81" s="204"/>
      <c r="F81" s="204"/>
      <c r="G81" s="89">
        <f t="shared" si="4"/>
        <v>0</v>
      </c>
      <c r="H81" s="204"/>
      <c r="I81" s="151">
        <f t="shared" si="3"/>
        <v>0</v>
      </c>
    </row>
    <row r="82" spans="1:9" x14ac:dyDescent="0.3">
      <c r="A82" s="201">
        <v>70</v>
      </c>
      <c r="B82" s="202"/>
      <c r="C82" s="203"/>
      <c r="D82" s="204"/>
      <c r="E82" s="204"/>
      <c r="F82" s="204"/>
      <c r="G82" s="89">
        <f t="shared" si="4"/>
        <v>0</v>
      </c>
      <c r="H82" s="204"/>
      <c r="I82" s="151">
        <f t="shared" si="3"/>
        <v>0</v>
      </c>
    </row>
    <row r="83" spans="1:9" x14ac:dyDescent="0.3">
      <c r="A83" s="201">
        <v>71</v>
      </c>
      <c r="B83" s="202"/>
      <c r="C83" s="203"/>
      <c r="D83" s="204"/>
      <c r="E83" s="204"/>
      <c r="F83" s="204"/>
      <c r="G83" s="89">
        <f t="shared" si="4"/>
        <v>0</v>
      </c>
      <c r="H83" s="204"/>
      <c r="I83" s="151">
        <f t="shared" si="3"/>
        <v>0</v>
      </c>
    </row>
    <row r="84" spans="1:9" x14ac:dyDescent="0.3">
      <c r="A84" s="201">
        <v>72</v>
      </c>
      <c r="B84" s="202"/>
      <c r="C84" s="203"/>
      <c r="D84" s="204"/>
      <c r="E84" s="204"/>
      <c r="F84" s="204"/>
      <c r="G84" s="89">
        <f t="shared" si="4"/>
        <v>0</v>
      </c>
      <c r="H84" s="204"/>
      <c r="I84" s="151">
        <f t="shared" si="3"/>
        <v>0</v>
      </c>
    </row>
    <row r="85" spans="1:9" x14ac:dyDescent="0.3">
      <c r="A85" s="201">
        <v>73</v>
      </c>
      <c r="B85" s="202"/>
      <c r="C85" s="203"/>
      <c r="D85" s="204"/>
      <c r="E85" s="204"/>
      <c r="F85" s="204"/>
      <c r="G85" s="89">
        <f t="shared" si="4"/>
        <v>0</v>
      </c>
      <c r="H85" s="204"/>
      <c r="I85" s="151">
        <f t="shared" si="3"/>
        <v>0</v>
      </c>
    </row>
    <row r="86" spans="1:9" x14ac:dyDescent="0.3">
      <c r="A86" s="201">
        <v>74</v>
      </c>
      <c r="B86" s="202"/>
      <c r="C86" s="203"/>
      <c r="D86" s="204"/>
      <c r="E86" s="204"/>
      <c r="F86" s="204"/>
      <c r="G86" s="89">
        <f t="shared" si="4"/>
        <v>0</v>
      </c>
      <c r="H86" s="204"/>
      <c r="I86" s="151">
        <f t="shared" si="3"/>
        <v>0</v>
      </c>
    </row>
    <row r="87" spans="1:9" x14ac:dyDescent="0.3">
      <c r="A87" s="201">
        <v>75</v>
      </c>
      <c r="B87" s="202"/>
      <c r="C87" s="203"/>
      <c r="D87" s="204"/>
      <c r="E87" s="204"/>
      <c r="F87" s="204"/>
      <c r="G87" s="89">
        <f t="shared" si="4"/>
        <v>0</v>
      </c>
      <c r="H87" s="204"/>
      <c r="I87" s="151">
        <f t="shared" si="3"/>
        <v>0</v>
      </c>
    </row>
    <row r="88" spans="1:9" x14ac:dyDescent="0.3">
      <c r="A88" s="201">
        <v>76</v>
      </c>
      <c r="B88" s="202"/>
      <c r="C88" s="203"/>
      <c r="D88" s="204"/>
      <c r="E88" s="204"/>
      <c r="F88" s="204"/>
      <c r="G88" s="89">
        <f t="shared" si="4"/>
        <v>0</v>
      </c>
      <c r="H88" s="204"/>
      <c r="I88" s="151">
        <f t="shared" si="3"/>
        <v>0</v>
      </c>
    </row>
    <row r="89" spans="1:9" x14ac:dyDescent="0.3">
      <c r="A89" s="201">
        <v>77</v>
      </c>
      <c r="B89" s="202"/>
      <c r="C89" s="203"/>
      <c r="D89" s="204"/>
      <c r="E89" s="204"/>
      <c r="F89" s="204"/>
      <c r="G89" s="89">
        <f t="shared" si="4"/>
        <v>0</v>
      </c>
      <c r="H89" s="204"/>
      <c r="I89" s="151">
        <f t="shared" si="3"/>
        <v>0</v>
      </c>
    </row>
    <row r="90" spans="1:9" x14ac:dyDescent="0.3">
      <c r="A90" s="201">
        <v>78</v>
      </c>
      <c r="B90" s="202"/>
      <c r="C90" s="203"/>
      <c r="D90" s="204"/>
      <c r="E90" s="204"/>
      <c r="F90" s="204"/>
      <c r="G90" s="89">
        <f t="shared" si="4"/>
        <v>0</v>
      </c>
      <c r="H90" s="204"/>
      <c r="I90" s="151">
        <f t="shared" si="3"/>
        <v>0</v>
      </c>
    </row>
    <row r="91" spans="1:9" x14ac:dyDescent="0.3">
      <c r="A91" s="201">
        <v>79</v>
      </c>
      <c r="B91" s="202"/>
      <c r="C91" s="203"/>
      <c r="D91" s="204"/>
      <c r="E91" s="204"/>
      <c r="F91" s="204"/>
      <c r="G91" s="89">
        <f t="shared" si="4"/>
        <v>0</v>
      </c>
      <c r="H91" s="204"/>
      <c r="I91" s="151">
        <f t="shared" si="3"/>
        <v>0</v>
      </c>
    </row>
    <row r="92" spans="1:9" x14ac:dyDescent="0.3">
      <c r="A92" s="201">
        <v>80</v>
      </c>
      <c r="B92" s="202"/>
      <c r="C92" s="203"/>
      <c r="D92" s="204"/>
      <c r="E92" s="204"/>
      <c r="F92" s="204"/>
      <c r="G92" s="89">
        <f t="shared" si="4"/>
        <v>0</v>
      </c>
      <c r="H92" s="204"/>
      <c r="I92" s="151">
        <f t="shared" si="3"/>
        <v>0</v>
      </c>
    </row>
    <row r="93" spans="1:9" x14ac:dyDescent="0.3">
      <c r="A93" s="201">
        <v>81</v>
      </c>
      <c r="B93" s="202"/>
      <c r="C93" s="203"/>
      <c r="D93" s="204"/>
      <c r="E93" s="204"/>
      <c r="F93" s="204"/>
      <c r="G93" s="89">
        <f t="shared" ref="G93:G100" si="5">SUM(D93:F93)</f>
        <v>0</v>
      </c>
      <c r="H93" s="204"/>
      <c r="I93" s="151">
        <f t="shared" si="3"/>
        <v>0</v>
      </c>
    </row>
    <row r="94" spans="1:9" x14ac:dyDescent="0.3">
      <c r="A94" s="201">
        <v>82</v>
      </c>
      <c r="B94" s="202"/>
      <c r="C94" s="203"/>
      <c r="D94" s="204"/>
      <c r="E94" s="204"/>
      <c r="F94" s="204"/>
      <c r="G94" s="89">
        <f t="shared" si="5"/>
        <v>0</v>
      </c>
      <c r="H94" s="204"/>
      <c r="I94" s="151">
        <f t="shared" si="3"/>
        <v>0</v>
      </c>
    </row>
    <row r="95" spans="1:9" x14ac:dyDescent="0.3">
      <c r="A95" s="201">
        <v>83</v>
      </c>
      <c r="B95" s="202"/>
      <c r="C95" s="203"/>
      <c r="D95" s="204"/>
      <c r="E95" s="204"/>
      <c r="F95" s="204"/>
      <c r="G95" s="89">
        <f t="shared" si="5"/>
        <v>0</v>
      </c>
      <c r="H95" s="204"/>
      <c r="I95" s="151">
        <f t="shared" si="3"/>
        <v>0</v>
      </c>
    </row>
    <row r="96" spans="1:9" x14ac:dyDescent="0.3">
      <c r="A96" s="201">
        <v>84</v>
      </c>
      <c r="B96" s="202"/>
      <c r="C96" s="203"/>
      <c r="D96" s="204"/>
      <c r="E96" s="204"/>
      <c r="F96" s="204"/>
      <c r="G96" s="89">
        <f t="shared" si="5"/>
        <v>0</v>
      </c>
      <c r="H96" s="204"/>
      <c r="I96" s="151">
        <f t="shared" si="3"/>
        <v>0</v>
      </c>
    </row>
    <row r="97" spans="1:11" x14ac:dyDescent="0.3">
      <c r="A97" s="201">
        <v>85</v>
      </c>
      <c r="B97" s="202"/>
      <c r="C97" s="203"/>
      <c r="D97" s="204"/>
      <c r="E97" s="204"/>
      <c r="F97" s="204"/>
      <c r="G97" s="89">
        <f t="shared" si="5"/>
        <v>0</v>
      </c>
      <c r="H97" s="204"/>
      <c r="I97" s="151">
        <f>+G97*H97</f>
        <v>0</v>
      </c>
    </row>
    <row r="98" spans="1:11" x14ac:dyDescent="0.3">
      <c r="A98" s="201">
        <v>86</v>
      </c>
      <c r="B98" s="202"/>
      <c r="C98" s="203"/>
      <c r="D98" s="204"/>
      <c r="E98" s="204"/>
      <c r="F98" s="204"/>
      <c r="G98" s="89">
        <f t="shared" si="5"/>
        <v>0</v>
      </c>
      <c r="H98" s="204"/>
      <c r="I98" s="151">
        <f>+G98*H98</f>
        <v>0</v>
      </c>
    </row>
    <row r="99" spans="1:11" x14ac:dyDescent="0.3">
      <c r="A99" s="201">
        <v>87</v>
      </c>
      <c r="B99" s="202"/>
      <c r="C99" s="203"/>
      <c r="D99" s="204"/>
      <c r="E99" s="204"/>
      <c r="F99" s="204"/>
      <c r="G99" s="89">
        <f t="shared" si="5"/>
        <v>0</v>
      </c>
      <c r="H99" s="204"/>
      <c r="I99" s="151">
        <f>+G99*H99</f>
        <v>0</v>
      </c>
    </row>
    <row r="100" spans="1:11" x14ac:dyDescent="0.3">
      <c r="A100" s="201">
        <v>88</v>
      </c>
      <c r="B100" s="202"/>
      <c r="C100" s="203"/>
      <c r="D100" s="204"/>
      <c r="E100" s="204"/>
      <c r="F100" s="204"/>
      <c r="G100" s="89">
        <f t="shared" si="5"/>
        <v>0</v>
      </c>
      <c r="H100" s="204"/>
      <c r="I100" s="151">
        <f>+G100*H100</f>
        <v>0</v>
      </c>
    </row>
    <row r="101" spans="1:11" ht="17.25" thickBot="1" x14ac:dyDescent="0.35">
      <c r="A101" s="201">
        <v>89</v>
      </c>
      <c r="B101" s="103"/>
      <c r="C101" s="103"/>
      <c r="D101" s="104"/>
      <c r="E101" s="104"/>
      <c r="F101" s="105" t="s">
        <v>224</v>
      </c>
      <c r="G101" s="105">
        <f>SUBTOTAL(109,G13:G100)</f>
        <v>6663</v>
      </c>
      <c r="H101" s="105">
        <f>SUBTOTAL(109,H13:H100)</f>
        <v>754</v>
      </c>
      <c r="I101" s="105">
        <f>SUBTOTAL(109,I13:I100)</f>
        <v>16433</v>
      </c>
    </row>
    <row r="102" spans="1:11" x14ac:dyDescent="0.3">
      <c r="A102" s="417"/>
      <c r="B102" s="418"/>
      <c r="C102" s="418"/>
      <c r="D102" s="419"/>
      <c r="E102" s="419"/>
      <c r="F102" s="419"/>
      <c r="G102" s="420"/>
      <c r="H102" s="419"/>
      <c r="I102" s="421"/>
    </row>
    <row r="103" spans="1:11" x14ac:dyDescent="0.3">
      <c r="K103" s="95"/>
    </row>
    <row r="104" spans="1:11" x14ac:dyDescent="0.3">
      <c r="K104" s="95"/>
    </row>
    <row r="105" spans="1:11" hidden="1" x14ac:dyDescent="0.3">
      <c r="A105" s="153" t="s">
        <v>248</v>
      </c>
      <c r="K105" s="95"/>
    </row>
    <row r="106" spans="1:11" hidden="1" x14ac:dyDescent="0.3">
      <c r="A106" s="153"/>
      <c r="K106" s="95"/>
    </row>
    <row r="107" spans="1:11" hidden="1" x14ac:dyDescent="0.3">
      <c r="A107" s="154" t="s">
        <v>252</v>
      </c>
      <c r="B107" s="29" t="s">
        <v>256</v>
      </c>
      <c r="C107" s="29" t="s">
        <v>255</v>
      </c>
      <c r="D107"/>
      <c r="E107"/>
      <c r="F107"/>
      <c r="G107"/>
      <c r="H107"/>
      <c r="I107"/>
      <c r="J107"/>
      <c r="K107"/>
    </row>
    <row r="108" spans="1:11" hidden="1" x14ac:dyDescent="0.3">
      <c r="A108" s="155" t="s">
        <v>122</v>
      </c>
      <c r="B108" s="29">
        <v>2930</v>
      </c>
      <c r="C108" s="29">
        <v>18</v>
      </c>
      <c r="D108"/>
      <c r="E108"/>
      <c r="F108"/>
      <c r="G108"/>
      <c r="H108"/>
      <c r="I108"/>
      <c r="J108"/>
      <c r="K108"/>
    </row>
    <row r="109" spans="1:11" hidden="1" x14ac:dyDescent="0.3">
      <c r="A109" s="155" t="s">
        <v>120</v>
      </c>
      <c r="B109" s="29">
        <v>2263</v>
      </c>
      <c r="C109" s="29">
        <v>26</v>
      </c>
      <c r="D109"/>
      <c r="E109"/>
      <c r="F109"/>
      <c r="G109"/>
      <c r="H109"/>
      <c r="I109"/>
      <c r="J109"/>
      <c r="K109"/>
    </row>
    <row r="110" spans="1:11" hidden="1" x14ac:dyDescent="0.3">
      <c r="A110" s="155" t="s">
        <v>121</v>
      </c>
      <c r="B110" s="29">
        <v>215</v>
      </c>
      <c r="C110" s="29">
        <v>6</v>
      </c>
      <c r="D110"/>
      <c r="E110"/>
      <c r="F110"/>
      <c r="G110"/>
      <c r="H110"/>
      <c r="I110"/>
      <c r="J110"/>
      <c r="K110"/>
    </row>
    <row r="111" spans="1:11" hidden="1" x14ac:dyDescent="0.3">
      <c r="A111" s="155" t="s">
        <v>253</v>
      </c>
      <c r="B111" s="29">
        <v>5408</v>
      </c>
      <c r="C111" s="29">
        <v>1</v>
      </c>
      <c r="D111"/>
      <c r="E111"/>
      <c r="F111"/>
      <c r="G111"/>
      <c r="H111"/>
      <c r="I111"/>
      <c r="J111"/>
      <c r="K111"/>
    </row>
    <row r="112" spans="1:11" hidden="1" x14ac:dyDescent="0.3">
      <c r="A112" s="155" t="s">
        <v>254</v>
      </c>
      <c r="B112" s="29">
        <v>10816</v>
      </c>
      <c r="C112" s="29">
        <v>51</v>
      </c>
      <c r="D112"/>
      <c r="E112"/>
      <c r="F112"/>
      <c r="G112"/>
      <c r="H112"/>
      <c r="I112"/>
      <c r="J112"/>
      <c r="K112"/>
    </row>
    <row r="113" spans="1:11" x14ac:dyDescent="0.3">
      <c r="A113"/>
      <c r="B113"/>
      <c r="C113"/>
      <c r="D113"/>
      <c r="E113"/>
      <c r="F113"/>
      <c r="G113"/>
      <c r="H113"/>
      <c r="I113"/>
      <c r="J113"/>
      <c r="K113"/>
    </row>
    <row r="114" spans="1:11" x14ac:dyDescent="0.3">
      <c r="A114"/>
      <c r="B114"/>
      <c r="C114"/>
    </row>
    <row r="115" spans="1:11" x14ac:dyDescent="0.3">
      <c r="A115"/>
      <c r="B115"/>
      <c r="C115"/>
    </row>
    <row r="116" spans="1:11" x14ac:dyDescent="0.3">
      <c r="A116"/>
      <c r="B116"/>
      <c r="C116"/>
    </row>
    <row r="117" spans="1:11" x14ac:dyDescent="0.3">
      <c r="A117"/>
      <c r="B117"/>
      <c r="C117"/>
    </row>
    <row r="118" spans="1:11" x14ac:dyDescent="0.3">
      <c r="A118"/>
      <c r="B118"/>
      <c r="C118"/>
    </row>
    <row r="119" spans="1:11" x14ac:dyDescent="0.3">
      <c r="A119"/>
      <c r="B119"/>
      <c r="C119"/>
    </row>
    <row r="120" spans="1:11" x14ac:dyDescent="0.3">
      <c r="A120"/>
      <c r="B120"/>
      <c r="C120"/>
    </row>
    <row r="121" spans="1:11" x14ac:dyDescent="0.3">
      <c r="A121"/>
      <c r="B121"/>
      <c r="C121"/>
    </row>
    <row r="122" spans="1:11" x14ac:dyDescent="0.3">
      <c r="A122"/>
      <c r="B122"/>
      <c r="C122"/>
    </row>
    <row r="123" spans="1:11" x14ac:dyDescent="0.3">
      <c r="A123"/>
      <c r="B123"/>
      <c r="C123"/>
    </row>
    <row r="124" spans="1:11" x14ac:dyDescent="0.3">
      <c r="A124"/>
      <c r="B124"/>
      <c r="C124"/>
    </row>
    <row r="125" spans="1:11" x14ac:dyDescent="0.3">
      <c r="A125"/>
      <c r="B125"/>
      <c r="C125"/>
    </row>
    <row r="126" spans="1:11" x14ac:dyDescent="0.3">
      <c r="A126"/>
      <c r="B126"/>
      <c r="C126"/>
    </row>
    <row r="127" spans="1:11" x14ac:dyDescent="0.3">
      <c r="A127"/>
      <c r="B127"/>
      <c r="C127"/>
    </row>
    <row r="128" spans="1:11" x14ac:dyDescent="0.3">
      <c r="A128"/>
      <c r="B128"/>
      <c r="C128"/>
    </row>
    <row r="129" spans="1:3" x14ac:dyDescent="0.3">
      <c r="A129"/>
      <c r="B129"/>
      <c r="C129"/>
    </row>
    <row r="130" spans="1:3" x14ac:dyDescent="0.3">
      <c r="A130"/>
      <c r="B130"/>
      <c r="C130"/>
    </row>
    <row r="131" spans="1:3" x14ac:dyDescent="0.3">
      <c r="A131"/>
      <c r="B131"/>
      <c r="C131"/>
    </row>
  </sheetData>
  <mergeCells count="3">
    <mergeCell ref="D11:F11"/>
    <mergeCell ref="B1:I1"/>
    <mergeCell ref="A9:I9"/>
  </mergeCells>
  <phoneticPr fontId="59" type="noConversion"/>
  <dataValidations count="6">
    <dataValidation allowBlank="1" showInputMessage="1" showErrorMessage="1" prompt="Para el cálculo de las horas requeridas para el desarrollo del PAAI, liste todos los informes de ley que debe realizar la OCI, seguimientos y auditorias priorizadas" sqref="C12"/>
    <dataValidation allowBlank="1" showInputMessage="1" showErrorMessage="1" prompt="Registre para cada informe a realizar, las horas estimadas en cada fase o etapa (planeación, ejecucion y elaboracion del informe)" sqref="D12:F12"/>
    <dataValidation allowBlank="1" showInputMessage="1" showErrorMessage="1" prompt="Registre el numero de informes que se proyectan realizar en la vigencia según la periodicidad" sqref="H12"/>
    <dataValidation allowBlank="1" showInputMessage="1" showErrorMessage="1" prompt="En esta columna se determina el numero de horas requeridas para el desarrollo del PAAI" sqref="I12"/>
    <dataValidation allowBlank="1" showInputMessage="1" showErrorMessage="1" prompt="Identifique el tipo de trabajo de auditoría a realizar de acuerdo a la priorización realizada" sqref="B12"/>
    <dataValidation type="list" allowBlank="1" showInputMessage="1" showErrorMessage="1" sqref="B13:B100">
      <formula1>$N$13:$N$17</formula1>
    </dataValidation>
  </dataValidations>
  <hyperlinks>
    <hyperlink ref="A4" location="'1. Horas requeridas PAAI'!A9" display="1.CÁLCULO DE HORAS REQUERIDAS PARA EL PAA"/>
    <hyperlink ref="A5" location="'2. Días -horas hábiles x vig'!A1" display="2.CALCULO DIAS -HORAS LABORALES POR AÑO Y POR AUDITOR"/>
    <hyperlink ref="A6" location="'3 Horas disponibles E. Auditor'!A30" display="3. RESULTADOS SOBRE LA CAPACIDAD INSTALADA Y REQUERIDA DEL EQUIPO AUDITOR"/>
  </hyperlinks>
  <pageMargins left="0.7" right="0.7" top="0.75" bottom="0.75" header="0.3" footer="0.3"/>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1"/>
  <sheetViews>
    <sheetView topLeftCell="A19" workbookViewId="0">
      <selection activeCell="B59" sqref="B59"/>
    </sheetView>
  </sheetViews>
  <sheetFormatPr baseColWidth="10" defaultColWidth="11.42578125" defaultRowHeight="15" x14ac:dyDescent="0.25"/>
  <cols>
    <col min="1" max="2" width="11.42578125" style="19"/>
    <col min="3" max="3" width="16.85546875" style="19" customWidth="1"/>
    <col min="4" max="16384" width="11.42578125" style="19"/>
  </cols>
  <sheetData>
    <row r="4" spans="3:11" ht="15.75" thickBot="1" x14ac:dyDescent="0.3"/>
    <row r="5" spans="3:11" x14ac:dyDescent="0.25">
      <c r="C5" s="143" t="s">
        <v>237</v>
      </c>
      <c r="D5" s="144"/>
      <c r="E5" s="144"/>
      <c r="F5" s="144"/>
      <c r="G5" s="144"/>
      <c r="H5" s="144"/>
      <c r="I5" s="144"/>
      <c r="J5" s="144"/>
      <c r="K5" s="145"/>
    </row>
    <row r="6" spans="3:11" ht="32.25" customHeight="1" thickBot="1" x14ac:dyDescent="0.3">
      <c r="C6" s="165" t="s">
        <v>261</v>
      </c>
      <c r="D6" s="595" t="s">
        <v>265</v>
      </c>
      <c r="E6" s="595"/>
      <c r="F6" s="595"/>
      <c r="G6" s="595"/>
      <c r="H6" s="595"/>
      <c r="I6" s="595"/>
      <c r="J6" s="595"/>
      <c r="K6" s="596"/>
    </row>
    <row r="9" spans="3:11" ht="384" customHeight="1" x14ac:dyDescent="0.25">
      <c r="C9" s="489" t="s">
        <v>264</v>
      </c>
      <c r="D9" s="489"/>
      <c r="E9" s="489"/>
      <c r="F9" s="489"/>
      <c r="G9" s="489"/>
      <c r="H9" s="489"/>
      <c r="I9" s="489"/>
      <c r="J9" s="489"/>
      <c r="K9" s="489"/>
    </row>
    <row r="10" spans="3:11" ht="205.5" customHeight="1" x14ac:dyDescent="0.25">
      <c r="C10" s="489" t="s">
        <v>262</v>
      </c>
      <c r="D10" s="489"/>
      <c r="E10" s="489"/>
      <c r="F10" s="489"/>
      <c r="G10" s="489"/>
      <c r="H10" s="489"/>
      <c r="I10" s="489"/>
      <c r="J10" s="489"/>
      <c r="K10" s="489"/>
    </row>
    <row r="11" spans="3:11" ht="205.5" customHeight="1" thickBot="1" x14ac:dyDescent="0.3">
      <c r="C11" s="489" t="s">
        <v>263</v>
      </c>
      <c r="D11" s="489"/>
      <c r="E11" s="489"/>
      <c r="F11" s="489"/>
      <c r="G11" s="489"/>
      <c r="H11" s="489"/>
      <c r="I11" s="489"/>
      <c r="J11" s="489"/>
      <c r="K11" s="489"/>
    </row>
    <row r="12" spans="3:11" ht="39.75" customHeight="1" x14ac:dyDescent="0.25">
      <c r="C12" s="143" t="s">
        <v>237</v>
      </c>
      <c r="D12" s="144"/>
      <c r="E12" s="144"/>
      <c r="F12" s="144"/>
      <c r="G12" s="144"/>
      <c r="H12" s="144"/>
      <c r="I12" s="144"/>
      <c r="J12" s="144"/>
      <c r="K12" s="145"/>
    </row>
    <row r="13" spans="3:11" ht="15.75" thickBot="1" x14ac:dyDescent="0.3">
      <c r="C13" s="165" t="s">
        <v>266</v>
      </c>
      <c r="D13" s="595" t="s">
        <v>267</v>
      </c>
      <c r="E13" s="595"/>
      <c r="F13" s="595"/>
      <c r="G13" s="595"/>
      <c r="H13" s="595"/>
      <c r="I13" s="595"/>
      <c r="J13" s="595"/>
      <c r="K13" s="596"/>
    </row>
    <row r="16" spans="3:11" ht="184.5" customHeight="1" x14ac:dyDescent="0.25">
      <c r="C16" s="489" t="s">
        <v>268</v>
      </c>
      <c r="D16" s="489"/>
      <c r="E16" s="489"/>
      <c r="F16" s="489"/>
      <c r="G16" s="489"/>
      <c r="H16" s="489"/>
      <c r="I16" s="489"/>
      <c r="J16" s="489"/>
      <c r="K16" s="489"/>
    </row>
    <row r="17" spans="3:11" ht="320.25" customHeight="1" x14ac:dyDescent="0.25">
      <c r="C17" s="489" t="s">
        <v>269</v>
      </c>
      <c r="D17" s="489"/>
      <c r="E17" s="489"/>
      <c r="F17" s="489"/>
      <c r="G17" s="489"/>
      <c r="H17" s="489"/>
      <c r="I17" s="489"/>
      <c r="J17" s="489"/>
      <c r="K17" s="489"/>
    </row>
    <row r="18" spans="3:11" ht="242.25" customHeight="1" x14ac:dyDescent="0.25">
      <c r="C18" s="489" t="s">
        <v>270</v>
      </c>
      <c r="D18" s="489"/>
      <c r="E18" s="489"/>
      <c r="F18" s="489"/>
      <c r="G18" s="489"/>
      <c r="H18" s="489"/>
      <c r="I18" s="489"/>
      <c r="J18" s="489"/>
      <c r="K18" s="489"/>
    </row>
    <row r="19" spans="3:11" ht="252" customHeight="1" x14ac:dyDescent="0.25">
      <c r="C19" s="489" t="s">
        <v>271</v>
      </c>
      <c r="D19" s="489"/>
      <c r="E19" s="489"/>
      <c r="F19" s="489"/>
      <c r="G19" s="489"/>
      <c r="H19" s="489"/>
      <c r="I19" s="489"/>
      <c r="J19" s="489"/>
      <c r="K19" s="489"/>
    </row>
    <row r="20" spans="3:11" ht="161.25" customHeight="1" x14ac:dyDescent="0.25">
      <c r="C20" s="489" t="s">
        <v>272</v>
      </c>
      <c r="D20" s="489"/>
      <c r="E20" s="489"/>
      <c r="F20" s="489"/>
      <c r="G20" s="489"/>
      <c r="H20" s="489"/>
      <c r="I20" s="489"/>
      <c r="J20" s="489"/>
      <c r="K20" s="489"/>
    </row>
    <row r="21" spans="3:11" ht="16.5" x14ac:dyDescent="0.25">
      <c r="C21" s="597" t="s">
        <v>247</v>
      </c>
      <c r="D21" s="597"/>
      <c r="E21" s="597"/>
      <c r="F21" s="597"/>
      <c r="G21" s="597"/>
      <c r="H21" s="597"/>
      <c r="I21" s="597"/>
      <c r="J21" s="597"/>
      <c r="K21" s="597"/>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6"/>
  <sheetViews>
    <sheetView topLeftCell="D8" workbookViewId="0">
      <selection activeCell="R14" sqref="R14"/>
    </sheetView>
  </sheetViews>
  <sheetFormatPr baseColWidth="10" defaultColWidth="11.42578125" defaultRowHeight="15" x14ac:dyDescent="0.25"/>
  <cols>
    <col min="1" max="1" width="4.5703125" customWidth="1"/>
    <col min="2" max="2" width="48.7109375" style="69" customWidth="1"/>
    <col min="3" max="3" width="12.140625" bestFit="1" customWidth="1"/>
    <col min="8" max="8" width="11.5703125" customWidth="1"/>
    <col min="9" max="9" width="8.42578125" bestFit="1" customWidth="1"/>
    <col min="10" max="10" width="8.28515625" customWidth="1"/>
    <col min="16" max="16" width="11.42578125" style="70"/>
    <col min="17" max="17" width="21.42578125" customWidth="1"/>
    <col min="18" max="18" width="22.7109375" customWidth="1"/>
    <col min="20" max="20" width="45.28515625" customWidth="1"/>
  </cols>
  <sheetData>
    <row r="1" spans="2:20" ht="15.75" thickBot="1" x14ac:dyDescent="0.3">
      <c r="B1"/>
      <c r="P1"/>
    </row>
    <row r="2" spans="2:20" x14ac:dyDescent="0.25">
      <c r="B2" s="570" t="s">
        <v>16</v>
      </c>
      <c r="C2" s="491" t="s">
        <v>17</v>
      </c>
      <c r="D2" s="599"/>
      <c r="E2" s="599"/>
      <c r="F2" s="599"/>
      <c r="G2" s="599"/>
      <c r="H2" s="599"/>
      <c r="I2" s="599"/>
      <c r="J2" s="599"/>
      <c r="K2" s="599"/>
      <c r="L2" s="599"/>
      <c r="M2" s="599"/>
      <c r="N2" s="599"/>
      <c r="O2" s="577"/>
      <c r="P2" s="577"/>
      <c r="Q2" s="578"/>
    </row>
    <row r="3" spans="2:20" x14ac:dyDescent="0.25">
      <c r="B3" s="571"/>
      <c r="C3" s="600"/>
      <c r="D3" s="600"/>
      <c r="E3" s="600"/>
      <c r="F3" s="600"/>
      <c r="G3" s="600"/>
      <c r="H3" s="600"/>
      <c r="I3" s="600"/>
      <c r="J3" s="600"/>
      <c r="K3" s="600"/>
      <c r="L3" s="600"/>
      <c r="M3" s="600"/>
      <c r="N3" s="600"/>
      <c r="O3" s="579"/>
      <c r="P3" s="579"/>
      <c r="Q3" s="580"/>
    </row>
    <row r="4" spans="2:20" x14ac:dyDescent="0.25">
      <c r="B4" s="571"/>
      <c r="C4" s="600"/>
      <c r="D4" s="600"/>
      <c r="E4" s="600"/>
      <c r="F4" s="600"/>
      <c r="G4" s="600"/>
      <c r="H4" s="600"/>
      <c r="I4" s="600"/>
      <c r="J4" s="600"/>
      <c r="K4" s="600"/>
      <c r="L4" s="600"/>
      <c r="M4" s="600"/>
      <c r="N4" s="600"/>
      <c r="O4" s="579"/>
      <c r="P4" s="579"/>
      <c r="Q4" s="580"/>
    </row>
    <row r="5" spans="2:20" ht="15.75" thickBot="1" x14ac:dyDescent="0.3">
      <c r="B5" s="598"/>
      <c r="C5" s="583"/>
      <c r="D5" s="601"/>
      <c r="E5" s="601"/>
      <c r="F5" s="601"/>
      <c r="G5" s="601"/>
      <c r="H5" s="601"/>
      <c r="I5" s="601"/>
      <c r="J5" s="601"/>
      <c r="K5" s="601"/>
      <c r="L5" s="601"/>
      <c r="M5" s="601"/>
      <c r="N5" s="601"/>
      <c r="O5" s="581"/>
      <c r="P5" s="581"/>
      <c r="Q5" s="582"/>
    </row>
    <row r="6" spans="2:20" ht="17.25" thickBot="1" x14ac:dyDescent="0.35">
      <c r="B6" s="27" t="s">
        <v>11</v>
      </c>
      <c r="C6" s="28">
        <v>45291</v>
      </c>
      <c r="D6" s="29"/>
      <c r="P6"/>
    </row>
    <row r="7" spans="2:20" ht="16.5" x14ac:dyDescent="0.3">
      <c r="B7" s="50"/>
      <c r="C7" s="51"/>
      <c r="D7" s="29"/>
      <c r="P7"/>
    </row>
    <row r="8" spans="2:20" ht="17.25" thickBot="1" x14ac:dyDescent="0.35">
      <c r="B8" s="29"/>
      <c r="C8" s="29"/>
      <c r="D8" s="29"/>
      <c r="P8"/>
    </row>
    <row r="9" spans="2:20" ht="15.75" thickBot="1" x14ac:dyDescent="0.3">
      <c r="B9" s="13">
        <v>1</v>
      </c>
      <c r="C9" s="610">
        <v>2</v>
      </c>
      <c r="D9" s="610"/>
      <c r="E9" s="610"/>
      <c r="F9" s="610"/>
      <c r="G9" s="610"/>
      <c r="H9" s="610"/>
      <c r="I9" s="610"/>
      <c r="J9" s="610">
        <v>3</v>
      </c>
      <c r="K9" s="610"/>
      <c r="L9" s="610">
        <v>4</v>
      </c>
      <c r="M9" s="610"/>
      <c r="N9" s="610">
        <v>4</v>
      </c>
      <c r="O9" s="610"/>
      <c r="P9" s="615"/>
      <c r="Q9" s="603">
        <v>5</v>
      </c>
      <c r="R9" s="604"/>
    </row>
    <row r="10" spans="2:20" ht="15.75" thickBot="1" x14ac:dyDescent="0.3">
      <c r="B10" s="611" t="s">
        <v>19</v>
      </c>
      <c r="C10" s="613" t="s">
        <v>0</v>
      </c>
      <c r="D10" s="614"/>
      <c r="E10" s="614"/>
      <c r="F10" s="614"/>
      <c r="G10" s="614"/>
      <c r="H10" s="608" t="s">
        <v>6</v>
      </c>
      <c r="I10" s="609"/>
      <c r="J10" s="608" t="s">
        <v>7</v>
      </c>
      <c r="K10" s="609"/>
      <c r="L10" s="608" t="s">
        <v>8</v>
      </c>
      <c r="M10" s="609"/>
      <c r="N10" s="602" t="s">
        <v>9</v>
      </c>
      <c r="O10" s="602" t="s">
        <v>10</v>
      </c>
      <c r="P10" s="602" t="s">
        <v>13</v>
      </c>
      <c r="Q10" s="602" t="s">
        <v>14</v>
      </c>
      <c r="R10" s="602" t="s">
        <v>21</v>
      </c>
    </row>
    <row r="11" spans="2:20" ht="15.75" thickBot="1" x14ac:dyDescent="0.3">
      <c r="B11" s="612"/>
      <c r="C11" s="247" t="s">
        <v>1</v>
      </c>
      <c r="D11" s="248" t="s">
        <v>2</v>
      </c>
      <c r="E11" s="249" t="s">
        <v>3</v>
      </c>
      <c r="F11" s="250" t="s">
        <v>4</v>
      </c>
      <c r="G11" s="251" t="s">
        <v>5</v>
      </c>
      <c r="H11" s="608"/>
      <c r="I11" s="609"/>
      <c r="J11" s="608"/>
      <c r="K11" s="609"/>
      <c r="L11" s="608"/>
      <c r="M11" s="609"/>
      <c r="N11" s="602"/>
      <c r="O11" s="602"/>
      <c r="P11" s="602"/>
      <c r="Q11" s="602"/>
      <c r="R11" s="602"/>
    </row>
    <row r="12" spans="2:20" ht="30.75" thickBot="1" x14ac:dyDescent="0.3">
      <c r="B12" s="252" t="str">
        <f>+'PRIORIZACIÓN (2)'!B11</f>
        <v>Alcaldía los Mártires - Avance Obra - Cumplimiento cronogramas y ejecución presupuestal</v>
      </c>
      <c r="C12" s="2">
        <f>+'PRIORIZACIÓN (2)'!C11</f>
        <v>1</v>
      </c>
      <c r="D12" s="3">
        <f>+'PRIORIZACIÓN (2)'!D11</f>
        <v>0</v>
      </c>
      <c r="E12" s="3">
        <f>+'PRIORIZACIÓN (2)'!E11</f>
        <v>1</v>
      </c>
      <c r="F12" s="3">
        <f>+'PRIORIZACIÓN (2)'!F11</f>
        <v>2</v>
      </c>
      <c r="G12" s="253">
        <f>SUM(C12:F12)</f>
        <v>4</v>
      </c>
      <c r="H12" s="256" t="str">
        <f>+IF(($C12/$G12)&gt;=0.2,"Extremo",+IF((($C12/G12)+($D12/$G12))&gt;=0.3,"Alto",+IF((($C12/$G12)+($D12/$G12)+($E12/$G12))&gt;=0.4,"Moderado",+IF(($C12/$G12)+($D12/$G12)+($E12/$G12)+($F12/$G12)&gt;=0.5,"Bajo",""))))</f>
        <v>Extremo</v>
      </c>
      <c r="I12" s="4">
        <f>(IF(H12="Extremo",50%,(IF(H12="Alto",40%,IF(H12="Moderado",15%,IF(H12="Bajo",10%,0))))))</f>
        <v>0.5</v>
      </c>
      <c r="J12" s="10" t="s">
        <v>12</v>
      </c>
      <c r="K12" s="244">
        <f>IF(J12="Si",100%,IF(J12="No",0,0))</f>
        <v>0</v>
      </c>
      <c r="L12" s="2" t="s">
        <v>12</v>
      </c>
      <c r="M12" s="4">
        <f>IF(L12="Si",20%,IF(L12="No",0,0))</f>
        <v>0</v>
      </c>
      <c r="N12" s="268"/>
      <c r="O12" s="265">
        <f>+$C$6-N12</f>
        <v>45291</v>
      </c>
      <c r="P12" s="262">
        <f>IF(O12&gt;=1080,30%,IF(O12&gt;=720,20%,IF(O12&gt;=360,10%,IF(O12&lt;=359,0%,0))))</f>
        <v>0.3</v>
      </c>
      <c r="Q12" s="259">
        <f>IF(K12=100%,100%,(I12+M12+P12))</f>
        <v>0.8</v>
      </c>
      <c r="R12" s="31">
        <f>+RANK(Q12,$Q$12:$Q$35,0)</f>
        <v>3</v>
      </c>
      <c r="T12" s="30" t="e">
        <f>IF(N12=100%,100%,(L12+P12+S12))</f>
        <v>#VALUE!</v>
      </c>
    </row>
    <row r="13" spans="2:20" ht="45.75" thickBot="1" x14ac:dyDescent="0.3">
      <c r="B13" s="252" t="str">
        <f>+'PRIORIZACIÓN (2)'!B12</f>
        <v>Bronx Distrito Creativo  - Avance Obra - Cumplimiento cronogramas y ejecución presupuestal</v>
      </c>
      <c r="C13" s="5">
        <f>+'PRIORIZACIÓN (2)'!C12</f>
        <v>1</v>
      </c>
      <c r="D13" s="1">
        <f>+'PRIORIZACIÓN (2)'!D12</f>
        <v>0</v>
      </c>
      <c r="E13" s="1">
        <f>+'PRIORIZACIÓN (2)'!E12</f>
        <v>1</v>
      </c>
      <c r="F13" s="1">
        <f>+'PRIORIZACIÓN (2)'!F12</f>
        <v>2</v>
      </c>
      <c r="G13" s="254">
        <f t="shared" ref="G13:G25" si="0">SUM(C13:F13)</f>
        <v>4</v>
      </c>
      <c r="H13" s="257" t="str">
        <f t="shared" ref="H13:H25" si="1">+IF(($C13/$G13)&gt;=0.2,"Extremo",+IF((($C13/G13)+($D13/$G13))&gt;=0.3,"Alto",+IF((($C13/$G13)+($D13/$G13)+($E13/$G13))&gt;=0.4,"Moderado",+IF(($C13/$G13)+($D13/$G13)+($E13/$G13)+($F13/$G13)&gt;=0.5,"Bajo",""))))</f>
        <v>Extremo</v>
      </c>
      <c r="I13" s="6">
        <f t="shared" ref="I13:I25" si="2">(IF(H13="Extremo",50%,(IF(H13="Alto",40%,IF(H13="Moderado",15%,IF(H13="Bajo",10%,0))))))</f>
        <v>0.5</v>
      </c>
      <c r="J13" s="11" t="s">
        <v>12</v>
      </c>
      <c r="K13" s="245">
        <f t="shared" ref="K13:K25" si="3">IF(J13="Si",100%,IF(J13="No",0,0))</f>
        <v>0</v>
      </c>
      <c r="L13" s="5" t="s">
        <v>12</v>
      </c>
      <c r="M13" s="6">
        <f t="shared" ref="M13:M25" si="4">IF(L13="Si",20%,IF(L13="No",0,0))</f>
        <v>0</v>
      </c>
      <c r="N13" s="269"/>
      <c r="O13" s="266">
        <f t="shared" ref="O13:O25" si="5">+$C$6-N13</f>
        <v>45291</v>
      </c>
      <c r="P13" s="263">
        <f t="shared" ref="P13:P25" si="6">IF(O13&gt;=1080,30%,IF(O13&gt;=720,20%,IF(O13&gt;=360,10%,IF(O13&lt;=359,0%,0))))</f>
        <v>0.3</v>
      </c>
      <c r="Q13" s="260">
        <f t="shared" ref="Q13:Q25" si="7">IF(K13=100%,100%,(I13+M13+P13))</f>
        <v>0.8</v>
      </c>
      <c r="R13" s="31">
        <f t="shared" ref="R13:R34" si="8">+RANK(Q13,$Q$12:$Q$35,0)</f>
        <v>3</v>
      </c>
    </row>
    <row r="14" spans="2:20" ht="45.75" thickBot="1" x14ac:dyDescent="0.3">
      <c r="B14" s="252" t="str">
        <f>+'PRIORIZACIÓN (2)'!B13</f>
        <v>Centro de Formación para el trabajo (SENA)  - Avance Obra - Cumplimiento cronogramas y ejecución presupuestal</v>
      </c>
      <c r="C14" s="5">
        <f>+'PRIORIZACIÓN (2)'!C13</f>
        <v>1</v>
      </c>
      <c r="D14" s="1">
        <f>+'PRIORIZACIÓN (2)'!D13</f>
        <v>0</v>
      </c>
      <c r="E14" s="1">
        <f>+'PRIORIZACIÓN (2)'!E13</f>
        <v>1</v>
      </c>
      <c r="F14" s="1">
        <f>+'PRIORIZACIÓN (2)'!F13</f>
        <v>2</v>
      </c>
      <c r="G14" s="254">
        <f t="shared" si="0"/>
        <v>4</v>
      </c>
      <c r="H14" s="257" t="str">
        <f t="shared" si="1"/>
        <v>Extremo</v>
      </c>
      <c r="I14" s="6">
        <f t="shared" si="2"/>
        <v>0.5</v>
      </c>
      <c r="J14" s="11" t="s">
        <v>12</v>
      </c>
      <c r="K14" s="245">
        <f t="shared" si="3"/>
        <v>0</v>
      </c>
      <c r="L14" s="5" t="s">
        <v>12</v>
      </c>
      <c r="M14" s="6">
        <f t="shared" si="4"/>
        <v>0</v>
      </c>
      <c r="N14" s="269"/>
      <c r="O14" s="266">
        <f t="shared" si="5"/>
        <v>45291</v>
      </c>
      <c r="P14" s="263">
        <f t="shared" si="6"/>
        <v>0.3</v>
      </c>
      <c r="Q14" s="260">
        <f t="shared" si="7"/>
        <v>0.8</v>
      </c>
      <c r="R14" s="31">
        <f t="shared" si="8"/>
        <v>3</v>
      </c>
    </row>
    <row r="15" spans="2:20" ht="30.75" thickBot="1" x14ac:dyDescent="0.3">
      <c r="B15" s="252" t="str">
        <f>+'PRIORIZACIÓN (2)'!B14</f>
        <v>Direccionamiento Estratégico y Gobierno Corporativo</v>
      </c>
      <c r="C15" s="5">
        <f>+'PRIORIZACIÓN (2)'!C14</f>
        <v>0</v>
      </c>
      <c r="D15" s="1">
        <f>+'PRIORIZACIÓN (2)'!D14</f>
        <v>1</v>
      </c>
      <c r="E15" s="1">
        <f>+'PRIORIZACIÓN (2)'!E14</f>
        <v>1</v>
      </c>
      <c r="F15" s="1">
        <f>+'PRIORIZACIÓN (2)'!F14</f>
        <v>4</v>
      </c>
      <c r="G15" s="254">
        <f t="shared" si="0"/>
        <v>6</v>
      </c>
      <c r="H15" s="257" t="str">
        <f t="shared" si="1"/>
        <v>Bajo</v>
      </c>
      <c r="I15" s="6">
        <f t="shared" si="2"/>
        <v>0.1</v>
      </c>
      <c r="J15" s="11" t="s">
        <v>371</v>
      </c>
      <c r="K15" s="245">
        <f t="shared" si="3"/>
        <v>1</v>
      </c>
      <c r="L15" s="5" t="s">
        <v>12</v>
      </c>
      <c r="M15" s="6">
        <f t="shared" si="4"/>
        <v>0</v>
      </c>
      <c r="N15" s="269"/>
      <c r="O15" s="266">
        <f t="shared" si="5"/>
        <v>45291</v>
      </c>
      <c r="P15" s="263">
        <f t="shared" si="6"/>
        <v>0.3</v>
      </c>
      <c r="Q15" s="260">
        <f t="shared" si="7"/>
        <v>1</v>
      </c>
      <c r="R15" s="31">
        <f t="shared" si="8"/>
        <v>1</v>
      </c>
    </row>
    <row r="16" spans="2:20" ht="15.75" thickBot="1" x14ac:dyDescent="0.3">
      <c r="B16" s="252" t="str">
        <f>+'PRIORIZACIÓN (2)'!B15</f>
        <v>Seguimiento Cumplimiento Norma Archivística ERU</v>
      </c>
      <c r="C16" s="5">
        <f>+'PRIORIZACIÓN (2)'!C15</f>
        <v>0</v>
      </c>
      <c r="D16" s="1">
        <f>+'PRIORIZACIÓN (2)'!D15</f>
        <v>1</v>
      </c>
      <c r="E16" s="1">
        <f>+'PRIORIZACIÓN (2)'!E15</f>
        <v>1</v>
      </c>
      <c r="F16" s="1">
        <f>+'PRIORIZACIÓN (2)'!F15</f>
        <v>1</v>
      </c>
      <c r="G16" s="254">
        <f t="shared" si="0"/>
        <v>3</v>
      </c>
      <c r="H16" s="257" t="str">
        <f t="shared" si="1"/>
        <v>Alto</v>
      </c>
      <c r="I16" s="6">
        <f t="shared" si="2"/>
        <v>0.4</v>
      </c>
      <c r="J16" s="11" t="s">
        <v>12</v>
      </c>
      <c r="K16" s="245">
        <f t="shared" si="3"/>
        <v>0</v>
      </c>
      <c r="L16" s="5" t="s">
        <v>12</v>
      </c>
      <c r="M16" s="6">
        <f t="shared" si="4"/>
        <v>0</v>
      </c>
      <c r="N16" s="269"/>
      <c r="O16" s="266">
        <f t="shared" si="5"/>
        <v>45291</v>
      </c>
      <c r="P16" s="263">
        <f t="shared" si="6"/>
        <v>0.3</v>
      </c>
      <c r="Q16" s="260">
        <f t="shared" si="7"/>
        <v>0.7</v>
      </c>
      <c r="R16" s="31">
        <f t="shared" si="8"/>
        <v>7</v>
      </c>
    </row>
    <row r="17" spans="2:18" ht="15.75" thickBot="1" x14ac:dyDescent="0.3">
      <c r="B17" s="252" t="str">
        <f>+'PRIORIZACIÓN (2)'!B16</f>
        <v xml:space="preserve">Auditoria Gestión Suelo </v>
      </c>
      <c r="C17" s="5">
        <f>+'PRIORIZACIÓN (2)'!C16</f>
        <v>1</v>
      </c>
      <c r="D17" s="1">
        <f>+'PRIORIZACIÓN (2)'!D16</f>
        <v>0</v>
      </c>
      <c r="E17" s="1">
        <f>+'PRIORIZACIÓN (2)'!E16</f>
        <v>1</v>
      </c>
      <c r="F17" s="1">
        <f>+'PRIORIZACIÓN (2)'!F16</f>
        <v>2</v>
      </c>
      <c r="G17" s="254">
        <f t="shared" si="0"/>
        <v>4</v>
      </c>
      <c r="H17" s="257" t="str">
        <f t="shared" si="1"/>
        <v>Extremo</v>
      </c>
      <c r="I17" s="6">
        <f t="shared" si="2"/>
        <v>0.5</v>
      </c>
      <c r="J17" s="11" t="s">
        <v>12</v>
      </c>
      <c r="K17" s="245">
        <f t="shared" si="3"/>
        <v>0</v>
      </c>
      <c r="L17" s="5" t="s">
        <v>12</v>
      </c>
      <c r="M17" s="6">
        <f t="shared" si="4"/>
        <v>0</v>
      </c>
      <c r="N17" s="269"/>
      <c r="O17" s="266">
        <f t="shared" si="5"/>
        <v>45291</v>
      </c>
      <c r="P17" s="263">
        <f t="shared" si="6"/>
        <v>0.3</v>
      </c>
      <c r="Q17" s="260">
        <f t="shared" si="7"/>
        <v>0.8</v>
      </c>
      <c r="R17" s="31">
        <f t="shared" si="8"/>
        <v>3</v>
      </c>
    </row>
    <row r="18" spans="2:18" ht="15.75" thickBot="1" x14ac:dyDescent="0.3">
      <c r="B18" s="252" t="str">
        <f>+'PRIORIZACIÓN (2)'!B17</f>
        <v xml:space="preserve">Sistema de Información Misional </v>
      </c>
      <c r="C18" s="5">
        <f>+'PRIORIZACIÓN (2)'!C17</f>
        <v>0</v>
      </c>
      <c r="D18" s="1">
        <f>+'PRIORIZACIÓN (2)'!D17</f>
        <v>1</v>
      </c>
      <c r="E18" s="1">
        <f>+'PRIORIZACIÓN (2)'!E17</f>
        <v>1</v>
      </c>
      <c r="F18" s="1">
        <f>+'PRIORIZACIÓN (2)'!F17</f>
        <v>1</v>
      </c>
      <c r="G18" s="254">
        <f t="shared" si="0"/>
        <v>3</v>
      </c>
      <c r="H18" s="257" t="str">
        <f t="shared" si="1"/>
        <v>Alto</v>
      </c>
      <c r="I18" s="6">
        <f t="shared" si="2"/>
        <v>0.4</v>
      </c>
      <c r="J18" s="11" t="s">
        <v>12</v>
      </c>
      <c r="K18" s="245">
        <f t="shared" si="3"/>
        <v>0</v>
      </c>
      <c r="L18" s="5" t="s">
        <v>12</v>
      </c>
      <c r="M18" s="6">
        <f t="shared" si="4"/>
        <v>0</v>
      </c>
      <c r="N18" s="269"/>
      <c r="O18" s="266">
        <f t="shared" si="5"/>
        <v>45291</v>
      </c>
      <c r="P18" s="263">
        <f t="shared" si="6"/>
        <v>0.3</v>
      </c>
      <c r="Q18" s="260">
        <f t="shared" si="7"/>
        <v>0.7</v>
      </c>
      <c r="R18" s="31">
        <f t="shared" si="8"/>
        <v>7</v>
      </c>
    </row>
    <row r="19" spans="2:18" ht="30.75" thickBot="1" x14ac:dyDescent="0.3">
      <c r="B19" s="252" t="str">
        <f>+'PRIORIZACIÓN (2)'!B20</f>
        <v>Auditoria Contratos arrendamiento - Predios San Victorino</v>
      </c>
      <c r="C19" s="5">
        <f>+'PRIORIZACIÓN (2)'!C19</f>
        <v>1</v>
      </c>
      <c r="D19" s="1">
        <f>+'PRIORIZACIÓN (2)'!D19</f>
        <v>0</v>
      </c>
      <c r="E19" s="1">
        <f>+'PRIORIZACIÓN (2)'!E19</f>
        <v>2</v>
      </c>
      <c r="F19" s="1">
        <f>+'PRIORIZACIÓN (2)'!F19</f>
        <v>2</v>
      </c>
      <c r="G19" s="254">
        <f t="shared" si="0"/>
        <v>5</v>
      </c>
      <c r="H19" s="257" t="str">
        <f t="shared" si="1"/>
        <v>Extremo</v>
      </c>
      <c r="I19" s="6">
        <f t="shared" si="2"/>
        <v>0.5</v>
      </c>
      <c r="J19" s="11" t="s">
        <v>371</v>
      </c>
      <c r="K19" s="245">
        <f t="shared" si="3"/>
        <v>1</v>
      </c>
      <c r="L19" s="5" t="s">
        <v>12</v>
      </c>
      <c r="M19" s="6">
        <f t="shared" si="4"/>
        <v>0</v>
      </c>
      <c r="N19" s="269"/>
      <c r="O19" s="266">
        <f t="shared" si="5"/>
        <v>45291</v>
      </c>
      <c r="P19" s="263">
        <f t="shared" si="6"/>
        <v>0.3</v>
      </c>
      <c r="Q19" s="260">
        <f t="shared" si="7"/>
        <v>1</v>
      </c>
      <c r="R19" s="31">
        <f t="shared" si="8"/>
        <v>1</v>
      </c>
    </row>
    <row r="20" spans="2:18" ht="30.75" thickBot="1" x14ac:dyDescent="0.3">
      <c r="B20" s="252" t="str">
        <f>+'PRIORIZACIÓN (2)'!B21</f>
        <v>Voto Nacional (Incluye Edificio Formación para el Trabajo)</v>
      </c>
      <c r="C20" s="5">
        <f>+'PRIORIZACIÓN (2)'!C20</f>
        <v>1</v>
      </c>
      <c r="D20" s="1">
        <f>+'PRIORIZACIÓN (2)'!D20</f>
        <v>0</v>
      </c>
      <c r="E20" s="1">
        <f>+'PRIORIZACIÓN (2)'!E20</f>
        <v>0</v>
      </c>
      <c r="F20" s="1">
        <f>+'PRIORIZACIÓN (2)'!F20</f>
        <v>2</v>
      </c>
      <c r="G20" s="254">
        <f t="shared" si="0"/>
        <v>3</v>
      </c>
      <c r="H20" s="257" t="str">
        <f t="shared" si="1"/>
        <v>Extremo</v>
      </c>
      <c r="I20" s="6">
        <f t="shared" si="2"/>
        <v>0.5</v>
      </c>
      <c r="J20" s="11" t="s">
        <v>12</v>
      </c>
      <c r="K20" s="245">
        <f t="shared" si="3"/>
        <v>0</v>
      </c>
      <c r="L20" s="5" t="s">
        <v>12</v>
      </c>
      <c r="M20" s="6">
        <f t="shared" si="4"/>
        <v>0</v>
      </c>
      <c r="N20" s="269">
        <f>+'PRIORIZACIÓN (2)'!Q20</f>
        <v>44612</v>
      </c>
      <c r="O20" s="266">
        <f t="shared" si="5"/>
        <v>679</v>
      </c>
      <c r="P20" s="263">
        <f t="shared" si="6"/>
        <v>0.1</v>
      </c>
      <c r="Q20" s="260">
        <f t="shared" si="7"/>
        <v>0.6</v>
      </c>
      <c r="R20" s="31">
        <f t="shared" si="8"/>
        <v>12</v>
      </c>
    </row>
    <row r="21" spans="2:18" ht="15.75" thickBot="1" x14ac:dyDescent="0.3">
      <c r="B21" s="252" t="str">
        <f>+'PRIORIZACIÓN (2)'!B22</f>
        <v>Auditoria Proceso Terceros Concurrentes</v>
      </c>
      <c r="C21" s="5">
        <f>+'PRIORIZACIÓN (2)'!C21</f>
        <v>1</v>
      </c>
      <c r="D21" s="1">
        <f>+'PRIORIZACIÓN (2)'!D21</f>
        <v>0</v>
      </c>
      <c r="E21" s="1">
        <f>+'PRIORIZACIÓN (2)'!E21</f>
        <v>0</v>
      </c>
      <c r="F21" s="1">
        <f>+'PRIORIZACIÓN (2)'!F21</f>
        <v>4</v>
      </c>
      <c r="G21" s="254">
        <f t="shared" si="0"/>
        <v>5</v>
      </c>
      <c r="H21" s="257" t="str">
        <f t="shared" si="1"/>
        <v>Extremo</v>
      </c>
      <c r="I21" s="6">
        <f t="shared" si="2"/>
        <v>0.5</v>
      </c>
      <c r="J21" s="11" t="s">
        <v>12</v>
      </c>
      <c r="K21" s="245">
        <f t="shared" si="3"/>
        <v>0</v>
      </c>
      <c r="L21" s="5" t="s">
        <v>12</v>
      </c>
      <c r="M21" s="6">
        <f t="shared" si="4"/>
        <v>0</v>
      </c>
      <c r="N21" s="269">
        <f>+'PRIORIZACIÓN (2)'!Q21</f>
        <v>44696</v>
      </c>
      <c r="O21" s="266">
        <f t="shared" si="5"/>
        <v>595</v>
      </c>
      <c r="P21" s="263">
        <f t="shared" si="6"/>
        <v>0.1</v>
      </c>
      <c r="Q21" s="260">
        <f t="shared" si="7"/>
        <v>0.6</v>
      </c>
      <c r="R21" s="31">
        <f t="shared" si="8"/>
        <v>12</v>
      </c>
    </row>
    <row r="22" spans="2:18" ht="30.75" thickBot="1" x14ac:dyDescent="0.3">
      <c r="B22" s="252" t="str">
        <f>+'PRIORIZACIÓN (2)'!B23</f>
        <v>Sistemas de Información Misionales de la Empresa (Contratación)</v>
      </c>
      <c r="C22" s="5">
        <f>+'PRIORIZACIÓN (2)'!C22</f>
        <v>0</v>
      </c>
      <c r="D22" s="1">
        <f>+'PRIORIZACIÓN (2)'!D22</f>
        <v>2</v>
      </c>
      <c r="E22" s="1">
        <f>+'PRIORIZACIÓN (2)'!E22</f>
        <v>2</v>
      </c>
      <c r="F22" s="1">
        <f>+'PRIORIZACIÓN (2)'!F22</f>
        <v>2</v>
      </c>
      <c r="G22" s="254">
        <f>SUM(C22:F22)</f>
        <v>6</v>
      </c>
      <c r="H22" s="257" t="str">
        <f>+IF(($C22/$G22)&gt;=0.2,"Extremo",+IF((($C22/G22)+($D22/$G22))&gt;=0.3,"Alto",+IF((($C22/$G22)+($D22/$G22)+($E22/$G22))&gt;=0.4,"Moderado",+IF(($C22/$G22)+($D22/$G22)+($E22/$G22)+($F22/$G22)&gt;=0.5,"Bajo",""))))</f>
        <v>Alto</v>
      </c>
      <c r="I22" s="6">
        <f>(IF(H22="Extremo",50%,(IF(H22="Alto",40%,IF(H22="Moderado",15%,IF(H22="Bajo",10%,0))))))</f>
        <v>0.4</v>
      </c>
      <c r="J22" s="11" t="s">
        <v>12</v>
      </c>
      <c r="K22" s="245">
        <f>IF(J22="Si",100%,IF(J22="No",0,0))</f>
        <v>0</v>
      </c>
      <c r="L22" s="5" t="s">
        <v>12</v>
      </c>
      <c r="M22" s="6">
        <f>IF(L22="Si",20%,IF(L22="No",0,0))</f>
        <v>0</v>
      </c>
      <c r="N22" s="269">
        <f>+'PRIORIZACIÓN (2)'!Q22</f>
        <v>44764</v>
      </c>
      <c r="O22" s="266">
        <f>+$C$6-N22</f>
        <v>527</v>
      </c>
      <c r="P22" s="263">
        <f>IF(O22&gt;=1080,30%,IF(O22&gt;=720,20%,IF(O22&gt;=360,10%,IF(O22&lt;=359,0%,0))))</f>
        <v>0.1</v>
      </c>
      <c r="Q22" s="260">
        <f t="shared" si="7"/>
        <v>0.5</v>
      </c>
      <c r="R22" s="31">
        <f t="shared" si="8"/>
        <v>17</v>
      </c>
    </row>
    <row r="23" spans="2:18" ht="30.75" thickBot="1" x14ac:dyDescent="0.3">
      <c r="B23" s="252" t="str">
        <f>+'PRIORIZACIÓN (2)'!B24</f>
        <v>Servicios Administrativos y de apoyo - PIGA - Talento Humano -  Servicios Logísticos</v>
      </c>
      <c r="C23" s="5">
        <f>+'PRIORIZACIÓN (2)'!C23</f>
        <v>1</v>
      </c>
      <c r="D23" s="1">
        <f>+'PRIORIZACIÓN (2)'!D23</f>
        <v>0</v>
      </c>
      <c r="E23" s="1">
        <f>+'PRIORIZACIÓN (2)'!E23</f>
        <v>3</v>
      </c>
      <c r="F23" s="1">
        <f>+'PRIORIZACIÓN (2)'!F23</f>
        <v>1</v>
      </c>
      <c r="G23" s="254">
        <f>SUM(C23:F23)</f>
        <v>5</v>
      </c>
      <c r="H23" s="257" t="str">
        <f>+IF(($C23/$G23)&gt;=0.2,"Extremo",+IF((($C23/G23)+($D23/$G23))&gt;=0.3,"Alto",+IF((($C23/$G23)+($D23/$G23)+($E23/$G23))&gt;=0.4,"Moderado",+IF(($C23/$G23)+($D23/$G23)+($E23/$G23)+($F23/$G23)&gt;=0.5,"Bajo",""))))</f>
        <v>Extremo</v>
      </c>
      <c r="I23" s="6">
        <f>(IF(H23="Extremo",50%,(IF(H23="Alto",40%,IF(H23="Moderado",15%,IF(H23="Bajo",10%,0))))))</f>
        <v>0.5</v>
      </c>
      <c r="J23" s="11" t="s">
        <v>12</v>
      </c>
      <c r="K23" s="245">
        <f>IF(J23="Si",100%,IF(J23="No",0,0))</f>
        <v>0</v>
      </c>
      <c r="L23" s="5" t="s">
        <v>12</v>
      </c>
      <c r="M23" s="6">
        <f>IF(L23="Si",20%,IF(L23="No",0,0))</f>
        <v>0</v>
      </c>
      <c r="N23" s="269">
        <f>+'PRIORIZACIÓN (2)'!Q23</f>
        <v>44803</v>
      </c>
      <c r="O23" s="266">
        <f>+$C$6-N23</f>
        <v>488</v>
      </c>
      <c r="P23" s="263">
        <f>IF(O23&gt;=1080,30%,IF(O23&gt;=720,20%,IF(O23&gt;=360,10%,IF(O23&lt;=359,0%,0))))</f>
        <v>0.1</v>
      </c>
      <c r="Q23" s="260">
        <f>IF(K23=100%,100%,(I23+M23+P23))</f>
        <v>0.6</v>
      </c>
      <c r="R23" s="31">
        <f t="shared" si="8"/>
        <v>12</v>
      </c>
    </row>
    <row r="24" spans="2:18" ht="15.75" thickBot="1" x14ac:dyDescent="0.3">
      <c r="B24" s="252" t="str">
        <f>+'PRIORIZACIÓN (2)'!B25</f>
        <v>Costeo de los proyectos y rentabilidad de la Empresa</v>
      </c>
      <c r="C24" s="5">
        <f>+'PRIORIZACIÓN (2)'!C24</f>
        <v>1</v>
      </c>
      <c r="D24" s="1">
        <f>+'PRIORIZACIÓN (2)'!D24</f>
        <v>0</v>
      </c>
      <c r="E24" s="1">
        <f>+'PRIORIZACIÓN (2)'!E24</f>
        <v>1</v>
      </c>
      <c r="F24" s="1">
        <f>+'PRIORIZACIÓN (2)'!F24</f>
        <v>3</v>
      </c>
      <c r="G24" s="254">
        <f t="shared" si="0"/>
        <v>5</v>
      </c>
      <c r="H24" s="257" t="str">
        <f t="shared" si="1"/>
        <v>Extremo</v>
      </c>
      <c r="I24" s="6">
        <f t="shared" si="2"/>
        <v>0.5</v>
      </c>
      <c r="J24" s="11" t="s">
        <v>12</v>
      </c>
      <c r="K24" s="245">
        <f t="shared" si="3"/>
        <v>0</v>
      </c>
      <c r="L24" s="5" t="s">
        <v>12</v>
      </c>
      <c r="M24" s="6">
        <f t="shared" si="4"/>
        <v>0</v>
      </c>
      <c r="N24" s="269">
        <f>+'PRIORIZACIÓN (2)'!Q24</f>
        <v>44895</v>
      </c>
      <c r="O24" s="266">
        <f t="shared" si="5"/>
        <v>396</v>
      </c>
      <c r="P24" s="263">
        <f t="shared" si="6"/>
        <v>0.1</v>
      </c>
      <c r="Q24" s="260">
        <f t="shared" si="7"/>
        <v>0.6</v>
      </c>
      <c r="R24" s="31">
        <f t="shared" si="8"/>
        <v>12</v>
      </c>
    </row>
    <row r="25" spans="2:18" ht="30.75" thickBot="1" x14ac:dyDescent="0.3">
      <c r="B25" s="252" t="str">
        <f>+'PRIORIZACIÓN (2)'!B26</f>
        <v>Seguimiento Resolución 1519 de 2021  y acceso a la Información</v>
      </c>
      <c r="C25" s="5">
        <f>+'PRIORIZACIÓN (2)'!C25</f>
        <v>1</v>
      </c>
      <c r="D25" s="1">
        <f>+'PRIORIZACIÓN (2)'!D25</f>
        <v>0</v>
      </c>
      <c r="E25" s="1">
        <f>+'PRIORIZACIÓN (2)'!E25</f>
        <v>0</v>
      </c>
      <c r="F25" s="1">
        <f>+'PRIORIZACIÓN (2)'!F25</f>
        <v>3</v>
      </c>
      <c r="G25" s="254">
        <f t="shared" si="0"/>
        <v>4</v>
      </c>
      <c r="H25" s="257" t="str">
        <f t="shared" si="1"/>
        <v>Extremo</v>
      </c>
      <c r="I25" s="6">
        <f t="shared" si="2"/>
        <v>0.5</v>
      </c>
      <c r="J25" s="11" t="s">
        <v>12</v>
      </c>
      <c r="K25" s="245">
        <f t="shared" si="3"/>
        <v>0</v>
      </c>
      <c r="L25" s="5" t="s">
        <v>12</v>
      </c>
      <c r="M25" s="6">
        <f t="shared" si="4"/>
        <v>0</v>
      </c>
      <c r="N25" s="269">
        <f>+'PRIORIZACIÓN (2)'!Q25</f>
        <v>44829</v>
      </c>
      <c r="O25" s="266">
        <f t="shared" si="5"/>
        <v>462</v>
      </c>
      <c r="P25" s="263">
        <f t="shared" si="6"/>
        <v>0.1</v>
      </c>
      <c r="Q25" s="260">
        <f t="shared" si="7"/>
        <v>0.6</v>
      </c>
      <c r="R25" s="31">
        <f t="shared" si="8"/>
        <v>12</v>
      </c>
    </row>
    <row r="26" spans="2:18" ht="45.75" thickBot="1" x14ac:dyDescent="0.3">
      <c r="B26" s="252" t="str">
        <f>+'PRIORIZACIÓN (2)'!B27</f>
        <v>Seguimiento Auditoria de Fiducias (Plan de Mejoramiento y Contratación por vencimiento de términos Fiducias actuales)</v>
      </c>
      <c r="C26" s="5">
        <f>+'PRIORIZACIÓN (2)'!C26</f>
        <v>1</v>
      </c>
      <c r="D26" s="1">
        <f>+'PRIORIZACIÓN (2)'!D26</f>
        <v>1</v>
      </c>
      <c r="E26" s="1">
        <f>+'PRIORIZACIÓN (2)'!E26</f>
        <v>1</v>
      </c>
      <c r="F26" s="1">
        <f>+'PRIORIZACIÓN (2)'!F26</f>
        <v>3</v>
      </c>
      <c r="G26" s="254">
        <f t="shared" ref="G26:G35" si="9">SUM(C26:F26)</f>
        <v>6</v>
      </c>
      <c r="H26" s="257" t="str">
        <f t="shared" ref="H26:H35" si="10">+IF(($C26/$G26)&gt;=0.2,"Extremo",+IF((($C26/G26)+($D26/$G26))&gt;=0.3,"Alto",+IF((($C26/$G26)+($D26/$G26)+($E26/$G26))&gt;=0.4,"Moderado",+IF(($C26/$G26)+($D26/$G26)+($E26/$G26)+($F26/$G26)&gt;=0.5,"Bajo",""))))</f>
        <v>Alto</v>
      </c>
      <c r="I26" s="6">
        <f t="shared" ref="I26:I35" si="11">(IF(H26="Extremo",50%,(IF(H26="Alto",40%,IF(H26="Moderado",15%,IF(H26="Bajo",10%,0))))))</f>
        <v>0.4</v>
      </c>
      <c r="J26" s="11" t="s">
        <v>12</v>
      </c>
      <c r="K26" s="245">
        <f t="shared" ref="K26:K35" si="12">IF(J26="Si",100%,IF(J26="No",0,0))</f>
        <v>0</v>
      </c>
      <c r="L26" s="5" t="s">
        <v>12</v>
      </c>
      <c r="M26" s="6">
        <f t="shared" ref="M26:M35" si="13">IF(L26="Si",20%,IF(L26="No",0,0))</f>
        <v>0</v>
      </c>
      <c r="N26" s="269">
        <f>+'PRIORIZACIÓN (2)'!Q26</f>
        <v>44895</v>
      </c>
      <c r="O26" s="266">
        <f t="shared" ref="O26:O35" si="14">+$C$6-N26</f>
        <v>396</v>
      </c>
      <c r="P26" s="263">
        <f t="shared" ref="P26:P35" si="15">IF(O26&gt;=1080,30%,IF(O26&gt;=720,20%,IF(O26&gt;=360,10%,IF(O26&lt;=359,0%,0))))</f>
        <v>0.1</v>
      </c>
      <c r="Q26" s="260">
        <f t="shared" ref="Q26:Q35" si="16">IF(K26=100%,100%,(I26+M26+P26))</f>
        <v>0.5</v>
      </c>
      <c r="R26" s="31">
        <f t="shared" si="8"/>
        <v>17</v>
      </c>
    </row>
    <row r="27" spans="2:18" ht="30.75" thickBot="1" x14ac:dyDescent="0.3">
      <c r="B27" s="252" t="str">
        <f>+'PRIORIZACIÓN (2)'!B28</f>
        <v>Seguimiento Comités Institucionales (Actividad pendiente de finalizar de la Vigencia 2021)</v>
      </c>
      <c r="C27" s="5">
        <f>+'PRIORIZACIÓN (2)'!C27</f>
        <v>1</v>
      </c>
      <c r="D27" s="1">
        <f>+'PRIORIZACIÓN (2)'!D27</f>
        <v>1</v>
      </c>
      <c r="E27" s="1">
        <f>+'PRIORIZACIÓN (2)'!E27</f>
        <v>1</v>
      </c>
      <c r="F27" s="1">
        <f>+'PRIORIZACIÓN (2)'!F27</f>
        <v>3</v>
      </c>
      <c r="G27" s="254">
        <f t="shared" si="9"/>
        <v>6</v>
      </c>
      <c r="H27" s="257" t="str">
        <f t="shared" si="10"/>
        <v>Alto</v>
      </c>
      <c r="I27" s="6">
        <f t="shared" si="11"/>
        <v>0.4</v>
      </c>
      <c r="J27" s="11" t="s">
        <v>12</v>
      </c>
      <c r="K27" s="245">
        <f t="shared" si="12"/>
        <v>0</v>
      </c>
      <c r="L27" s="5" t="s">
        <v>12</v>
      </c>
      <c r="M27" s="6">
        <f t="shared" si="13"/>
        <v>0</v>
      </c>
      <c r="N27" s="269">
        <f>+'PRIORIZACIÓN (2)'!Q27</f>
        <v>44895</v>
      </c>
      <c r="O27" s="266">
        <f t="shared" si="14"/>
        <v>396</v>
      </c>
      <c r="P27" s="263">
        <f t="shared" si="15"/>
        <v>0.1</v>
      </c>
      <c r="Q27" s="260">
        <f t="shared" si="16"/>
        <v>0.5</v>
      </c>
      <c r="R27" s="31">
        <f t="shared" si="8"/>
        <v>17</v>
      </c>
    </row>
    <row r="28" spans="2:18" ht="15.75" thickBot="1" x14ac:dyDescent="0.3">
      <c r="B28" s="252" t="str">
        <f>+'PRIORIZACIÓN (2)'!B29</f>
        <v>Seguimiento Plan de Mejoramiento Archivística</v>
      </c>
      <c r="C28" s="5">
        <f>+'PRIORIZACIÓN (2)'!C28</f>
        <v>1</v>
      </c>
      <c r="D28" s="1">
        <f>+'PRIORIZACIÓN (2)'!D28</f>
        <v>1</v>
      </c>
      <c r="E28" s="1">
        <f>+'PRIORIZACIÓN (2)'!E28</f>
        <v>0</v>
      </c>
      <c r="F28" s="1">
        <f>+'PRIORIZACIÓN (2)'!F28</f>
        <v>4</v>
      </c>
      <c r="G28" s="254">
        <f t="shared" si="9"/>
        <v>6</v>
      </c>
      <c r="H28" s="257" t="str">
        <f t="shared" si="10"/>
        <v>Alto</v>
      </c>
      <c r="I28" s="6">
        <f t="shared" si="11"/>
        <v>0.4</v>
      </c>
      <c r="J28" s="11" t="s">
        <v>12</v>
      </c>
      <c r="K28" s="245">
        <f t="shared" si="12"/>
        <v>0</v>
      </c>
      <c r="L28" s="5" t="s">
        <v>12</v>
      </c>
      <c r="M28" s="6">
        <f t="shared" si="13"/>
        <v>0</v>
      </c>
      <c r="N28" s="269">
        <f>+'PRIORIZACIÓN (2)'!Q28</f>
        <v>44614</v>
      </c>
      <c r="O28" s="266">
        <f t="shared" si="14"/>
        <v>677</v>
      </c>
      <c r="P28" s="263">
        <f t="shared" si="15"/>
        <v>0.1</v>
      </c>
      <c r="Q28" s="260">
        <f t="shared" si="16"/>
        <v>0.5</v>
      </c>
      <c r="R28" s="31">
        <f t="shared" si="8"/>
        <v>17</v>
      </c>
    </row>
    <row r="29" spans="2:18" ht="45.75" thickBot="1" x14ac:dyDescent="0.3">
      <c r="B29" s="252" t="str">
        <f>+'PRIORIZACIÓN (2)'!B30</f>
        <v>Evaluación del Estatuto de Auditoria, Código de Ética del Auditor y Plan de Mejoramiento de las Auditorias Cruzadas</v>
      </c>
      <c r="C29" s="5">
        <f>+'PRIORIZACIÓN (2)'!C29</f>
        <v>1</v>
      </c>
      <c r="D29" s="1">
        <f>+'PRIORIZACIÓN (2)'!D29</f>
        <v>1</v>
      </c>
      <c r="E29" s="1">
        <f>+'PRIORIZACIÓN (2)'!E29</f>
        <v>2</v>
      </c>
      <c r="F29" s="1">
        <f>+'PRIORIZACIÓN (2)'!F29</f>
        <v>2</v>
      </c>
      <c r="G29" s="254">
        <f t="shared" si="9"/>
        <v>6</v>
      </c>
      <c r="H29" s="257" t="str">
        <f t="shared" si="10"/>
        <v>Alto</v>
      </c>
      <c r="I29" s="6">
        <f t="shared" si="11"/>
        <v>0.4</v>
      </c>
      <c r="J29" s="11" t="s">
        <v>12</v>
      </c>
      <c r="K29" s="245">
        <f t="shared" si="12"/>
        <v>0</v>
      </c>
      <c r="L29" s="5" t="s">
        <v>12</v>
      </c>
      <c r="M29" s="6">
        <f t="shared" si="13"/>
        <v>0</v>
      </c>
      <c r="N29" s="269">
        <f>+'PRIORIZACIÓN (2)'!Q29</f>
        <v>44864</v>
      </c>
      <c r="O29" s="266">
        <f t="shared" si="14"/>
        <v>427</v>
      </c>
      <c r="P29" s="263">
        <f t="shared" si="15"/>
        <v>0.1</v>
      </c>
      <c r="Q29" s="260">
        <f t="shared" si="16"/>
        <v>0.5</v>
      </c>
      <c r="R29" s="31">
        <f t="shared" si="8"/>
        <v>17</v>
      </c>
    </row>
    <row r="30" spans="2:18" ht="30.75" thickBot="1" x14ac:dyDescent="0.3">
      <c r="B30" s="252" t="str">
        <f>+'PRIORIZACIÓN (2)'!B31</f>
        <v>Factores de Gestión Prioritarias para la Empresa (análisis OCI) y Fortalecimiento Institucional</v>
      </c>
      <c r="C30" s="5">
        <f>+'PRIORIZACIÓN (2)'!C30</f>
        <v>1</v>
      </c>
      <c r="D30" s="1">
        <f>+'PRIORIZACIÓN (2)'!D30</f>
        <v>1</v>
      </c>
      <c r="E30" s="1">
        <f>+'PRIORIZACIÓN (2)'!E30</f>
        <v>1</v>
      </c>
      <c r="F30" s="1">
        <f>+'PRIORIZACIÓN (2)'!F30</f>
        <v>3</v>
      </c>
      <c r="G30" s="254">
        <f t="shared" si="9"/>
        <v>6</v>
      </c>
      <c r="H30" s="257" t="str">
        <f t="shared" si="10"/>
        <v>Alto</v>
      </c>
      <c r="I30" s="6">
        <f t="shared" si="11"/>
        <v>0.4</v>
      </c>
      <c r="J30" s="11"/>
      <c r="K30" s="245">
        <f t="shared" si="12"/>
        <v>0</v>
      </c>
      <c r="L30" s="5"/>
      <c r="M30" s="6">
        <f t="shared" si="13"/>
        <v>0</v>
      </c>
      <c r="N30" s="269"/>
      <c r="O30" s="266">
        <f t="shared" si="14"/>
        <v>45291</v>
      </c>
      <c r="P30" s="263">
        <f t="shared" si="15"/>
        <v>0.3</v>
      </c>
      <c r="Q30" s="260">
        <f t="shared" si="16"/>
        <v>0.7</v>
      </c>
      <c r="R30" s="31">
        <f t="shared" si="8"/>
        <v>7</v>
      </c>
    </row>
    <row r="31" spans="2:18" ht="30.75" thickBot="1" x14ac:dyDescent="0.3">
      <c r="B31" s="252" t="str">
        <f>+'PRIORIZACIÓN (2)'!B32</f>
        <v>Auditoria de Fiducias. Alcance por muestra confiable.</v>
      </c>
      <c r="C31" s="5">
        <f>+'PRIORIZACIÓN (2)'!C31</f>
        <v>0</v>
      </c>
      <c r="D31" s="1">
        <f>+'PRIORIZACIÓN (2)'!D31</f>
        <v>1</v>
      </c>
      <c r="E31" s="1">
        <f>+'PRIORIZACIÓN (2)'!E31</f>
        <v>2</v>
      </c>
      <c r="F31" s="1">
        <f>+'PRIORIZACIÓN (2)'!F31</f>
        <v>2</v>
      </c>
      <c r="G31" s="254">
        <f t="shared" si="9"/>
        <v>5</v>
      </c>
      <c r="H31" s="257" t="str">
        <f t="shared" si="10"/>
        <v>Moderado</v>
      </c>
      <c r="I31" s="6">
        <f t="shared" si="11"/>
        <v>0.15</v>
      </c>
      <c r="J31" s="11"/>
      <c r="K31" s="245">
        <f t="shared" si="12"/>
        <v>0</v>
      </c>
      <c r="L31" s="5"/>
      <c r="M31" s="6">
        <f t="shared" si="13"/>
        <v>0</v>
      </c>
      <c r="N31" s="269"/>
      <c r="O31" s="266">
        <f t="shared" si="14"/>
        <v>45291</v>
      </c>
      <c r="P31" s="263">
        <f t="shared" si="15"/>
        <v>0.3</v>
      </c>
      <c r="Q31" s="260">
        <f t="shared" si="16"/>
        <v>0.44999999999999996</v>
      </c>
      <c r="R31" s="31">
        <f t="shared" si="8"/>
        <v>22</v>
      </c>
    </row>
    <row r="32" spans="2:18" ht="30.75" thickBot="1" x14ac:dyDescent="0.3">
      <c r="B32" s="252" t="str">
        <f>+'PRIORIZACIÓN (2)'!B33</f>
        <v>Auditoria Plan estratégico y gestión Tecnología y Comunicaciones</v>
      </c>
      <c r="C32" s="5">
        <f>+'PRIORIZACIÓN (2)'!C32</f>
        <v>0</v>
      </c>
      <c r="D32" s="1">
        <f>+'PRIORIZACIÓN (2)'!D32</f>
        <v>1</v>
      </c>
      <c r="E32" s="1">
        <f>+'PRIORIZACIÓN (2)'!E32</f>
        <v>1</v>
      </c>
      <c r="F32" s="1">
        <f>+'PRIORIZACIÓN (2)'!F32</f>
        <v>1</v>
      </c>
      <c r="G32" s="254">
        <f t="shared" si="9"/>
        <v>3</v>
      </c>
      <c r="H32" s="257" t="str">
        <f t="shared" si="10"/>
        <v>Alto</v>
      </c>
      <c r="I32" s="6">
        <f t="shared" si="11"/>
        <v>0.4</v>
      </c>
      <c r="J32" s="11"/>
      <c r="K32" s="245">
        <f t="shared" si="12"/>
        <v>0</v>
      </c>
      <c r="L32" s="5"/>
      <c r="M32" s="6">
        <f t="shared" si="13"/>
        <v>0</v>
      </c>
      <c r="N32" s="269"/>
      <c r="O32" s="266">
        <f t="shared" si="14"/>
        <v>45291</v>
      </c>
      <c r="P32" s="263">
        <f t="shared" si="15"/>
        <v>0.3</v>
      </c>
      <c r="Q32" s="260">
        <f t="shared" si="16"/>
        <v>0.7</v>
      </c>
      <c r="R32" s="31">
        <f t="shared" si="8"/>
        <v>7</v>
      </c>
    </row>
    <row r="33" spans="2:18" ht="45.75" thickBot="1" x14ac:dyDescent="0.3">
      <c r="B33" s="252" t="str">
        <f>+'PRIORIZACIÓN (2)'!B34</f>
        <v>Proyecto: Formulación, Gestión y Estructuración de Proyectos de Desarrollo, Revitalización o Renovación Urbana. Incluido aspecto contractual</v>
      </c>
      <c r="C33" s="5">
        <f>+'PRIORIZACIÓN (2)'!C33</f>
        <v>0</v>
      </c>
      <c r="D33" s="1">
        <f>+'PRIORIZACIÓN (2)'!D33</f>
        <v>2</v>
      </c>
      <c r="E33" s="1">
        <f>+'PRIORIZACIÓN (2)'!E33</f>
        <v>2</v>
      </c>
      <c r="F33" s="1">
        <f>+'PRIORIZACIÓN (2)'!F33</f>
        <v>2</v>
      </c>
      <c r="G33" s="254">
        <f t="shared" si="9"/>
        <v>6</v>
      </c>
      <c r="H33" s="257" t="str">
        <f t="shared" si="10"/>
        <v>Alto</v>
      </c>
      <c r="I33" s="6">
        <f t="shared" si="11"/>
        <v>0.4</v>
      </c>
      <c r="J33" s="11"/>
      <c r="K33" s="245">
        <f t="shared" si="12"/>
        <v>0</v>
      </c>
      <c r="L33" s="5"/>
      <c r="M33" s="6">
        <f t="shared" si="13"/>
        <v>0</v>
      </c>
      <c r="N33" s="269"/>
      <c r="O33" s="266">
        <f t="shared" si="14"/>
        <v>45291</v>
      </c>
      <c r="P33" s="263">
        <f t="shared" si="15"/>
        <v>0.3</v>
      </c>
      <c r="Q33" s="260">
        <f t="shared" si="16"/>
        <v>0.7</v>
      </c>
      <c r="R33" s="31">
        <f t="shared" si="8"/>
        <v>7</v>
      </c>
    </row>
    <row r="34" spans="2:18" ht="30.75" thickBot="1" x14ac:dyDescent="0.3">
      <c r="B34" s="252" t="str">
        <f>+'PRIORIZACIÓN (2)'!B35</f>
        <v>Auditoria Gestión Social asociada a la Adquisición Predial y grupos de interés</v>
      </c>
      <c r="C34" s="5">
        <f>+'PRIORIZACIÓN (2)'!C34</f>
        <v>0</v>
      </c>
      <c r="D34" s="1">
        <f>+'PRIORIZACIÓN (2)'!D34</f>
        <v>1</v>
      </c>
      <c r="E34" s="1">
        <f>+'PRIORIZACIÓN (2)'!E34</f>
        <v>1</v>
      </c>
      <c r="F34" s="1">
        <f>+'PRIORIZACIÓN (2)'!F34</f>
        <v>3</v>
      </c>
      <c r="G34" s="254">
        <f t="shared" si="9"/>
        <v>5</v>
      </c>
      <c r="H34" s="257" t="str">
        <f t="shared" si="10"/>
        <v>Moderado</v>
      </c>
      <c r="I34" s="6">
        <f t="shared" si="11"/>
        <v>0.15</v>
      </c>
      <c r="J34" s="11"/>
      <c r="K34" s="245">
        <f t="shared" si="12"/>
        <v>0</v>
      </c>
      <c r="L34" s="5"/>
      <c r="M34" s="6">
        <f t="shared" si="13"/>
        <v>0</v>
      </c>
      <c r="N34" s="269"/>
      <c r="O34" s="266">
        <f t="shared" si="14"/>
        <v>45291</v>
      </c>
      <c r="P34" s="263">
        <f t="shared" si="15"/>
        <v>0.3</v>
      </c>
      <c r="Q34" s="260">
        <f t="shared" si="16"/>
        <v>0.44999999999999996</v>
      </c>
      <c r="R34" s="31">
        <f t="shared" si="8"/>
        <v>22</v>
      </c>
    </row>
    <row r="35" spans="2:18" ht="45.75" thickBot="1" x14ac:dyDescent="0.3">
      <c r="B35" s="252" t="str">
        <f>+'PRIORIZACIÓN (2)'!B36</f>
        <v>Auditoria Proceso Evaluación y seguimiento - Normas Internacionales de Auditoria - Oficina PAD
Auditorias cruzadas OCI - Alcaldia.</v>
      </c>
      <c r="C35" s="7">
        <f>+'PRIORIZACIÓN (2)'!C35</f>
        <v>0</v>
      </c>
      <c r="D35" s="8">
        <f>+'PRIORIZACIÓN (2)'!D35</f>
        <v>1</v>
      </c>
      <c r="E35" s="8">
        <f>+'PRIORIZACIÓN (2)'!E35</f>
        <v>2</v>
      </c>
      <c r="F35" s="8">
        <f>+'PRIORIZACIÓN (2)'!F35</f>
        <v>2</v>
      </c>
      <c r="G35" s="255">
        <f t="shared" si="9"/>
        <v>5</v>
      </c>
      <c r="H35" s="258" t="str">
        <f t="shared" si="10"/>
        <v>Moderado</v>
      </c>
      <c r="I35" s="9">
        <f t="shared" si="11"/>
        <v>0.15</v>
      </c>
      <c r="J35" s="12"/>
      <c r="K35" s="246">
        <f t="shared" si="12"/>
        <v>0</v>
      </c>
      <c r="L35" s="7"/>
      <c r="M35" s="9">
        <f t="shared" si="13"/>
        <v>0</v>
      </c>
      <c r="N35" s="270"/>
      <c r="O35" s="267">
        <f t="shared" si="14"/>
        <v>45291</v>
      </c>
      <c r="P35" s="264">
        <f t="shared" si="15"/>
        <v>0.3</v>
      </c>
      <c r="Q35" s="261">
        <f t="shared" si="16"/>
        <v>0.44999999999999996</v>
      </c>
      <c r="R35" s="31">
        <f>+RANK(Q35,$Q$12:$Q$35,0)</f>
        <v>22</v>
      </c>
    </row>
    <row r="37" spans="2:18" ht="15.75" thickBot="1" x14ac:dyDescent="0.3"/>
    <row r="38" spans="2:18" x14ac:dyDescent="0.25">
      <c r="B38" s="15"/>
      <c r="C38" s="32"/>
      <c r="D38" s="16"/>
      <c r="E38" s="16"/>
      <c r="F38" s="16"/>
      <c r="G38" s="16"/>
      <c r="H38" s="16"/>
      <c r="I38" s="16"/>
      <c r="J38" s="16"/>
      <c r="K38" s="16"/>
      <c r="L38" s="16"/>
      <c r="M38" s="16"/>
      <c r="N38" s="16"/>
      <c r="O38" s="16"/>
      <c r="P38" s="17"/>
    </row>
    <row r="39" spans="2:18" x14ac:dyDescent="0.25">
      <c r="B39" s="18"/>
      <c r="C39" s="33"/>
      <c r="D39" s="19"/>
      <c r="E39" s="19"/>
      <c r="F39" s="19"/>
      <c r="G39" s="19"/>
      <c r="H39" s="19"/>
      <c r="I39" s="19"/>
      <c r="J39" s="19"/>
      <c r="K39" s="19"/>
      <c r="L39" s="19"/>
      <c r="M39" s="19"/>
      <c r="N39" s="19"/>
      <c r="O39" s="19"/>
      <c r="P39" s="20"/>
    </row>
    <row r="40" spans="2:18" x14ac:dyDescent="0.25">
      <c r="B40" s="18"/>
      <c r="C40" s="33"/>
      <c r="D40" s="19"/>
      <c r="E40" s="19"/>
      <c r="F40" s="19"/>
      <c r="G40" s="19"/>
      <c r="H40" s="19"/>
      <c r="I40" s="19"/>
      <c r="J40" s="19"/>
      <c r="K40" s="19"/>
      <c r="L40" s="19"/>
      <c r="M40" s="19"/>
      <c r="N40" s="19"/>
      <c r="O40" s="19"/>
      <c r="P40" s="20"/>
    </row>
    <row r="41" spans="2:18" x14ac:dyDescent="0.25">
      <c r="B41" s="18"/>
      <c r="C41" s="33"/>
      <c r="D41" s="19"/>
      <c r="E41" s="19"/>
      <c r="F41" s="19"/>
      <c r="G41" s="19"/>
      <c r="H41" s="19"/>
      <c r="I41" s="19"/>
      <c r="J41" s="19"/>
      <c r="K41" s="19"/>
      <c r="L41" s="19"/>
      <c r="M41" s="19"/>
      <c r="N41" s="19"/>
      <c r="O41" s="19"/>
      <c r="P41" s="20"/>
    </row>
    <row r="42" spans="2:18" x14ac:dyDescent="0.25">
      <c r="B42" s="18"/>
      <c r="C42" s="33"/>
      <c r="D42" s="19"/>
      <c r="E42" s="19"/>
      <c r="F42" s="19"/>
      <c r="G42" s="19"/>
      <c r="H42" s="19"/>
      <c r="I42" s="19"/>
      <c r="J42" s="19"/>
      <c r="K42" s="19"/>
      <c r="L42" s="19"/>
      <c r="M42" s="19"/>
      <c r="N42" s="19"/>
      <c r="O42" s="19"/>
      <c r="P42" s="20"/>
    </row>
    <row r="43" spans="2:18" x14ac:dyDescent="0.25">
      <c r="B43" s="18"/>
      <c r="C43" s="33"/>
      <c r="D43" s="19"/>
      <c r="E43" s="19"/>
      <c r="F43" s="19"/>
      <c r="G43" s="19"/>
      <c r="H43" s="19"/>
      <c r="I43" s="19"/>
      <c r="J43" s="19"/>
      <c r="K43" s="19"/>
      <c r="L43" s="19"/>
      <c r="M43" s="19"/>
      <c r="N43" s="19"/>
      <c r="O43" s="19"/>
      <c r="P43" s="20"/>
    </row>
    <row r="44" spans="2:18" x14ac:dyDescent="0.25">
      <c r="B44" s="18"/>
      <c r="C44" s="33"/>
      <c r="D44" s="19"/>
      <c r="E44" s="19"/>
      <c r="F44" s="19"/>
      <c r="G44" s="19"/>
      <c r="H44" s="19"/>
      <c r="I44" s="19"/>
      <c r="J44" s="19"/>
      <c r="K44" s="19"/>
      <c r="L44" s="19"/>
      <c r="M44" s="19"/>
      <c r="N44" s="19"/>
      <c r="O44" s="19"/>
      <c r="P44" s="20"/>
    </row>
    <row r="45" spans="2:18" x14ac:dyDescent="0.25">
      <c r="B45" s="605" t="s">
        <v>25</v>
      </c>
      <c r="C45" s="606"/>
      <c r="D45" s="606"/>
      <c r="E45" s="606"/>
      <c r="F45" s="606"/>
      <c r="G45" s="606"/>
      <c r="H45" s="606"/>
      <c r="I45" s="606"/>
      <c r="J45" s="606"/>
      <c r="K45" s="606"/>
      <c r="L45" s="606"/>
      <c r="M45" s="606"/>
      <c r="N45" s="606"/>
      <c r="O45" s="606"/>
      <c r="P45" s="607"/>
    </row>
    <row r="46" spans="2:18" x14ac:dyDescent="0.25">
      <c r="B46" s="18"/>
      <c r="C46" s="33"/>
      <c r="D46" s="19"/>
      <c r="E46" s="19"/>
      <c r="F46" s="19"/>
      <c r="G46" s="19"/>
      <c r="H46" s="19"/>
      <c r="I46" s="19"/>
      <c r="J46" s="19"/>
      <c r="K46" s="19"/>
      <c r="L46" s="19"/>
      <c r="M46" s="19"/>
      <c r="N46" s="19"/>
      <c r="O46" s="19"/>
      <c r="P46" s="20"/>
    </row>
    <row r="47" spans="2:18" x14ac:dyDescent="0.25">
      <c r="B47" s="18"/>
      <c r="C47" s="33"/>
      <c r="D47" s="19"/>
      <c r="E47" s="19"/>
      <c r="F47" s="19"/>
      <c r="G47" s="19"/>
      <c r="H47" s="19"/>
      <c r="I47" s="19"/>
      <c r="J47" s="19"/>
      <c r="K47" s="19"/>
      <c r="L47" s="19"/>
      <c r="M47" s="19"/>
      <c r="N47" s="19"/>
      <c r="O47" s="19"/>
      <c r="P47" s="20"/>
    </row>
    <row r="48" spans="2:18" x14ac:dyDescent="0.25">
      <c r="B48" s="18"/>
      <c r="C48" s="33"/>
      <c r="D48" s="19"/>
      <c r="E48" s="19"/>
      <c r="F48" s="19"/>
      <c r="G48" s="19"/>
      <c r="H48" s="19"/>
      <c r="I48" s="19"/>
      <c r="J48" s="19"/>
      <c r="K48" s="19"/>
      <c r="L48" s="19"/>
      <c r="M48" s="19"/>
      <c r="N48" s="19"/>
      <c r="O48" s="19"/>
      <c r="P48" s="20"/>
    </row>
    <row r="49" spans="2:16" x14ac:dyDescent="0.25">
      <c r="B49" s="18"/>
      <c r="C49" s="33"/>
      <c r="D49" s="19"/>
      <c r="E49" s="19"/>
      <c r="F49" s="19"/>
      <c r="G49" s="19"/>
      <c r="H49" s="19"/>
      <c r="I49" s="19"/>
      <c r="J49" s="19"/>
      <c r="K49" s="19"/>
      <c r="L49" s="19"/>
      <c r="M49" s="19"/>
      <c r="N49" s="19"/>
      <c r="O49" s="19"/>
      <c r="P49" s="20"/>
    </row>
    <row r="50" spans="2:16" x14ac:dyDescent="0.25">
      <c r="B50" s="18"/>
      <c r="C50" s="33"/>
      <c r="D50" s="19"/>
      <c r="E50" s="19"/>
      <c r="F50" s="19"/>
      <c r="G50" s="19"/>
      <c r="H50" s="19"/>
      <c r="I50" s="19"/>
      <c r="J50" s="19"/>
      <c r="K50" s="19"/>
      <c r="L50" s="19"/>
      <c r="M50" s="19"/>
      <c r="N50" s="19"/>
      <c r="O50" s="19"/>
      <c r="P50" s="20"/>
    </row>
    <row r="51" spans="2:16" x14ac:dyDescent="0.25">
      <c r="B51" s="18"/>
      <c r="C51" s="33"/>
      <c r="D51" s="19"/>
      <c r="E51" s="19"/>
      <c r="F51" s="19"/>
      <c r="G51" s="19"/>
      <c r="H51" s="19"/>
      <c r="I51" s="19"/>
      <c r="J51" s="19"/>
      <c r="K51" s="19"/>
      <c r="L51" s="19"/>
      <c r="M51" s="19"/>
      <c r="N51" s="19"/>
      <c r="O51" s="19"/>
      <c r="P51" s="20"/>
    </row>
    <row r="52" spans="2:16" x14ac:dyDescent="0.25">
      <c r="B52" s="18"/>
      <c r="C52" s="33"/>
      <c r="D52" s="19"/>
      <c r="E52" s="19"/>
      <c r="F52" s="19"/>
      <c r="G52" s="19"/>
      <c r="H52" s="19"/>
      <c r="I52" s="19"/>
      <c r="J52" s="19"/>
      <c r="K52" s="19"/>
      <c r="L52" s="19"/>
      <c r="M52" s="19"/>
      <c r="N52" s="19"/>
      <c r="O52" s="19"/>
      <c r="P52" s="20"/>
    </row>
    <row r="53" spans="2:16" x14ac:dyDescent="0.25">
      <c r="B53" s="18"/>
      <c r="C53" s="33"/>
      <c r="D53" s="19"/>
      <c r="E53" s="19"/>
      <c r="F53" s="19"/>
      <c r="G53" s="19"/>
      <c r="H53" s="19"/>
      <c r="I53" s="19"/>
      <c r="J53" s="19"/>
      <c r="K53" s="19"/>
      <c r="L53" s="19"/>
      <c r="M53" s="19"/>
      <c r="N53" s="19"/>
      <c r="O53" s="19"/>
      <c r="P53" s="20"/>
    </row>
    <row r="54" spans="2:16" x14ac:dyDescent="0.25">
      <c r="B54" s="18"/>
      <c r="C54" s="33"/>
      <c r="D54" s="19"/>
      <c r="E54" s="19"/>
      <c r="F54" s="19"/>
      <c r="G54" s="19"/>
      <c r="H54" s="19"/>
      <c r="I54" s="19"/>
      <c r="J54" s="19"/>
      <c r="K54" s="19"/>
      <c r="L54" s="19"/>
      <c r="M54" s="19"/>
      <c r="N54" s="19"/>
      <c r="O54" s="19"/>
      <c r="P54" s="20"/>
    </row>
    <row r="55" spans="2:16" x14ac:dyDescent="0.25">
      <c r="B55" s="18"/>
      <c r="C55" s="33"/>
      <c r="D55" s="19"/>
      <c r="E55" s="19"/>
      <c r="F55" s="19"/>
      <c r="G55" s="19"/>
      <c r="H55" s="19"/>
      <c r="I55" s="19"/>
      <c r="J55" s="19"/>
      <c r="K55" s="19"/>
      <c r="L55" s="19"/>
      <c r="M55" s="19"/>
      <c r="N55" s="19"/>
      <c r="O55" s="19"/>
      <c r="P55" s="20"/>
    </row>
    <row r="56" spans="2:16" ht="15.75" thickBot="1" x14ac:dyDescent="0.3">
      <c r="B56" s="21"/>
      <c r="C56" s="22"/>
      <c r="D56" s="22"/>
      <c r="E56" s="22"/>
      <c r="F56" s="22"/>
      <c r="G56" s="22"/>
      <c r="H56" s="22"/>
      <c r="I56" s="22"/>
      <c r="J56" s="22"/>
      <c r="K56" s="22"/>
      <c r="L56" s="22"/>
      <c r="M56" s="22"/>
      <c r="N56" s="22"/>
      <c r="O56" s="22"/>
      <c r="P56" s="23"/>
    </row>
  </sheetData>
  <mergeCells count="23">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 ref="B2:B5"/>
    <mergeCell ref="C2:N5"/>
    <mergeCell ref="Q2:Q5"/>
    <mergeCell ref="O2:P2"/>
    <mergeCell ref="O3:P3"/>
    <mergeCell ref="O4:P4"/>
    <mergeCell ref="O5:P5"/>
  </mergeCells>
  <conditionalFormatting sqref="H12:H35">
    <cfRule type="containsText" dxfId="5" priority="3" operator="containsText" text="Extremo">
      <formula>NOT(ISERROR(SEARCH("Extremo",H12)))</formula>
    </cfRule>
    <cfRule type="containsText" dxfId="4" priority="4" operator="containsText" text="Muy Bajo">
      <formula>NOT(ISERROR(SEARCH("Muy Bajo",H12)))</formula>
    </cfRule>
    <cfRule type="containsText" dxfId="3" priority="5" operator="containsText" text="Bajo">
      <formula>NOT(ISERROR(SEARCH("Bajo",H12)))</formula>
    </cfRule>
    <cfRule type="containsText" dxfId="2" priority="6" operator="containsText" text="Moderado">
      <formula>NOT(ISERROR(SEARCH("Moderado",H12)))</formula>
    </cfRule>
    <cfRule type="containsText" dxfId="1" priority="7" operator="containsText" text="Alto">
      <formula>NOT(ISERROR(SEARCH("Alto",H12)))</formula>
    </cfRule>
    <cfRule type="containsText" dxfId="0" priority="8" operator="containsText" text="Muy Alto">
      <formula>NOT(ISERROR(SEARCH("Muy Alto",H12)))</formula>
    </cfRule>
  </conditionalFormatting>
  <conditionalFormatting sqref="Q12:Q21 Q24:Q35">
    <cfRule type="colorScale" priority="31">
      <colorScale>
        <cfvo type="min"/>
        <cfvo type="percentile" val="50"/>
        <cfvo type="max"/>
        <color rgb="FF63BE7B"/>
        <color rgb="FFFFEB84"/>
        <color rgb="FFF8696B"/>
      </colorScale>
    </cfRule>
  </conditionalFormatting>
  <conditionalFormatting sqref="Q22">
    <cfRule type="colorScale" priority="1">
      <colorScale>
        <cfvo type="min"/>
        <cfvo type="percentile" val="50"/>
        <cfvo type="max"/>
        <color rgb="FF63BE7B"/>
        <color rgb="FFFFEB84"/>
        <color rgb="FFF8696B"/>
      </colorScale>
    </cfRule>
  </conditionalFormatting>
  <conditionalFormatting sqref="Q23">
    <cfRule type="colorScale" priority="2">
      <colorScale>
        <cfvo type="min"/>
        <cfvo type="percentile" val="50"/>
        <cfvo type="max"/>
        <color rgb="FF63BE7B"/>
        <color rgb="FFFFEB84"/>
        <color rgb="FFF8696B"/>
      </colorScale>
    </cfRule>
  </conditionalFormatting>
  <conditionalFormatting sqref="T12">
    <cfRule type="colorScale" priority="30">
      <colorScale>
        <cfvo type="min"/>
        <cfvo type="percentile" val="50"/>
        <cfvo type="max"/>
        <color rgb="FF63BE7B"/>
        <color rgb="FFFFEB84"/>
        <color rgb="FFF8696B"/>
      </colorScale>
    </cfRule>
  </conditionalFormatting>
  <dataValidations count="1">
    <dataValidation type="list" allowBlank="1" showInputMessage="1" showErrorMessage="1" sqref="J12:J35 L12:L35">
      <formula1>"Si,No"</formula1>
    </dataValidation>
  </dataValidations>
  <pageMargins left="0.7" right="0.7" top="0.75" bottom="0.75" header="0.3" footer="0.3"/>
  <pageSetup orientation="portrait" horizontalDpi="4294967293"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43" zoomScale="110" zoomScaleNormal="110" workbookViewId="0">
      <selection activeCell="A64" sqref="A64"/>
    </sheetView>
  </sheetViews>
  <sheetFormatPr baseColWidth="10" defaultColWidth="11.42578125" defaultRowHeight="11.25" x14ac:dyDescent="0.2"/>
  <cols>
    <col min="1" max="1" width="26.140625" style="107" customWidth="1"/>
    <col min="2" max="2" width="21.28515625" style="107" customWidth="1"/>
    <col min="3" max="3" width="11.42578125" style="107"/>
    <col min="4" max="4" width="13.140625" style="107" customWidth="1"/>
    <col min="5" max="5" width="21.5703125" style="107" customWidth="1"/>
    <col min="6" max="6" width="11.42578125" style="107"/>
    <col min="7" max="7" width="26.42578125" style="107" customWidth="1"/>
    <col min="8" max="8" width="27.5703125" style="107" customWidth="1"/>
    <col min="9" max="9" width="15.85546875" style="107" customWidth="1"/>
    <col min="10" max="10" width="23.85546875" style="107" customWidth="1"/>
    <col min="11" max="11" width="11.42578125" style="107"/>
    <col min="12" max="12" width="12.28515625" style="107" customWidth="1"/>
    <col min="13" max="15" width="11.42578125" style="107"/>
    <col min="16" max="16" width="18.42578125" style="107" customWidth="1"/>
    <col min="17" max="16384" width="11.42578125" style="107"/>
  </cols>
  <sheetData>
    <row r="1" spans="1:15" s="19" customFormat="1" ht="72" customHeight="1" x14ac:dyDescent="0.25">
      <c r="A1" s="58" t="s">
        <v>16</v>
      </c>
      <c r="B1" s="616" t="s">
        <v>244</v>
      </c>
      <c r="C1" s="616"/>
      <c r="D1" s="616"/>
      <c r="E1" s="616"/>
      <c r="F1" s="616"/>
      <c r="G1" s="616"/>
      <c r="H1" s="83"/>
      <c r="I1" s="119"/>
      <c r="J1" s="119"/>
      <c r="K1" s="119"/>
      <c r="L1" s="119"/>
      <c r="M1" s="119"/>
      <c r="N1" s="119"/>
      <c r="O1" s="119"/>
    </row>
    <row r="2" spans="1:15" ht="12.75" x14ac:dyDescent="0.25">
      <c r="A2" s="116" t="s">
        <v>624</v>
      </c>
      <c r="B2" s="85"/>
      <c r="C2" s="85"/>
      <c r="D2" s="85"/>
      <c r="E2" s="85"/>
      <c r="F2" s="85"/>
      <c r="G2" s="85"/>
      <c r="H2" s="85"/>
    </row>
    <row r="3" spans="1:15" ht="12.75" x14ac:dyDescent="0.25">
      <c r="A3" s="619" t="s">
        <v>240</v>
      </c>
      <c r="B3" s="619"/>
      <c r="C3" s="619"/>
      <c r="D3" s="619"/>
      <c r="E3" s="619"/>
      <c r="F3" s="619"/>
      <c r="G3" s="619"/>
      <c r="H3" s="619"/>
    </row>
    <row r="4" spans="1:15" ht="18.75" customHeight="1" x14ac:dyDescent="0.25">
      <c r="A4" s="622" t="s">
        <v>223</v>
      </c>
      <c r="B4" s="622"/>
      <c r="C4" s="622"/>
      <c r="D4" s="622"/>
      <c r="E4" s="622"/>
      <c r="F4" s="622"/>
      <c r="G4" s="622"/>
      <c r="H4" s="622"/>
    </row>
    <row r="5" spans="1:15" ht="12.75" x14ac:dyDescent="0.25">
      <c r="A5" s="111" t="s">
        <v>227</v>
      </c>
      <c r="B5" s="111" t="s">
        <v>169</v>
      </c>
      <c r="C5" s="111" t="s">
        <v>170</v>
      </c>
      <c r="D5" s="111" t="s">
        <v>171</v>
      </c>
      <c r="E5" s="111" t="s">
        <v>228</v>
      </c>
      <c r="F5" s="111" t="s">
        <v>170</v>
      </c>
      <c r="G5" s="111" t="s">
        <v>171</v>
      </c>
      <c r="H5" s="111" t="s">
        <v>229</v>
      </c>
      <c r="I5" s="108"/>
      <c r="J5" s="108"/>
      <c r="K5" s="108"/>
      <c r="L5" s="108"/>
    </row>
    <row r="6" spans="1:15" ht="13.5" x14ac:dyDescent="0.3">
      <c r="A6" s="114" t="s">
        <v>172</v>
      </c>
      <c r="B6" s="112">
        <v>21</v>
      </c>
      <c r="C6" s="112">
        <v>8</v>
      </c>
      <c r="D6" s="112">
        <f>+C6*B6</f>
        <v>168</v>
      </c>
      <c r="E6" s="112"/>
      <c r="F6" s="112">
        <v>8</v>
      </c>
      <c r="G6" s="112">
        <f>+F6*E6</f>
        <v>0</v>
      </c>
      <c r="H6" s="112">
        <f>+D6-G6</f>
        <v>168</v>
      </c>
      <c r="J6" s="109"/>
      <c r="K6" s="109"/>
      <c r="L6" s="109"/>
    </row>
    <row r="7" spans="1:15" ht="13.5" x14ac:dyDescent="0.3">
      <c r="A7" s="114" t="s">
        <v>173</v>
      </c>
      <c r="B7" s="112">
        <v>20</v>
      </c>
      <c r="C7" s="112">
        <v>8</v>
      </c>
      <c r="D7" s="112">
        <f t="shared" ref="D7:D17" si="0">+C7*B7</f>
        <v>160</v>
      </c>
      <c r="E7" s="112"/>
      <c r="F7" s="112">
        <v>8</v>
      </c>
      <c r="G7" s="112">
        <f t="shared" ref="G7:G17" si="1">+F7*E7</f>
        <v>0</v>
      </c>
      <c r="H7" s="112">
        <f t="shared" ref="H7:H17" si="2">+D7-G7</f>
        <v>160</v>
      </c>
      <c r="J7" s="109"/>
      <c r="K7" s="109"/>
      <c r="L7" s="109"/>
    </row>
    <row r="8" spans="1:15" ht="13.5" x14ac:dyDescent="0.3">
      <c r="A8" s="114" t="s">
        <v>174</v>
      </c>
      <c r="B8" s="112">
        <v>22</v>
      </c>
      <c r="C8" s="112">
        <v>8</v>
      </c>
      <c r="D8" s="112">
        <f t="shared" si="0"/>
        <v>176</v>
      </c>
      <c r="E8" s="112"/>
      <c r="F8" s="112">
        <v>8</v>
      </c>
      <c r="G8" s="112">
        <f t="shared" si="1"/>
        <v>0</v>
      </c>
      <c r="H8" s="112">
        <f t="shared" si="2"/>
        <v>176</v>
      </c>
      <c r="J8" s="109"/>
      <c r="K8" s="109"/>
      <c r="L8" s="109"/>
    </row>
    <row r="9" spans="1:15" ht="13.5" x14ac:dyDescent="0.3">
      <c r="A9" s="114" t="s">
        <v>175</v>
      </c>
      <c r="B9" s="112">
        <v>18</v>
      </c>
      <c r="C9" s="112">
        <v>8</v>
      </c>
      <c r="D9" s="112">
        <f t="shared" si="0"/>
        <v>144</v>
      </c>
      <c r="E9" s="112"/>
      <c r="F9" s="112">
        <v>8</v>
      </c>
      <c r="G9" s="112">
        <f t="shared" si="1"/>
        <v>0</v>
      </c>
      <c r="H9" s="112">
        <f t="shared" si="2"/>
        <v>144</v>
      </c>
      <c r="J9" s="109"/>
      <c r="K9" s="109"/>
      <c r="L9" s="109"/>
    </row>
    <row r="10" spans="1:15" ht="13.5" x14ac:dyDescent="0.3">
      <c r="A10" s="114" t="s">
        <v>176</v>
      </c>
      <c r="B10" s="112">
        <v>21</v>
      </c>
      <c r="C10" s="112">
        <v>8</v>
      </c>
      <c r="D10" s="112">
        <f t="shared" si="0"/>
        <v>168</v>
      </c>
      <c r="E10" s="112"/>
      <c r="F10" s="112">
        <v>8</v>
      </c>
      <c r="G10" s="112">
        <f t="shared" si="1"/>
        <v>0</v>
      </c>
      <c r="H10" s="112">
        <f t="shared" si="2"/>
        <v>168</v>
      </c>
      <c r="J10" s="109"/>
      <c r="K10" s="109"/>
      <c r="L10" s="109"/>
    </row>
    <row r="11" spans="1:15" ht="13.5" x14ac:dyDescent="0.3">
      <c r="A11" s="114" t="s">
        <v>177</v>
      </c>
      <c r="B11" s="112">
        <v>20</v>
      </c>
      <c r="C11" s="112">
        <v>8</v>
      </c>
      <c r="D11" s="112">
        <f t="shared" si="0"/>
        <v>160</v>
      </c>
      <c r="E11" s="112"/>
      <c r="F11" s="112">
        <v>8</v>
      </c>
      <c r="G11" s="112">
        <f t="shared" si="1"/>
        <v>0</v>
      </c>
      <c r="H11" s="112">
        <f t="shared" si="2"/>
        <v>160</v>
      </c>
      <c r="J11" s="109"/>
      <c r="K11" s="109"/>
      <c r="L11" s="109"/>
    </row>
    <row r="12" spans="1:15" ht="13.5" x14ac:dyDescent="0.3">
      <c r="A12" s="114" t="s">
        <v>178</v>
      </c>
      <c r="B12" s="112">
        <v>19</v>
      </c>
      <c r="C12" s="112">
        <v>8</v>
      </c>
      <c r="D12" s="112">
        <f t="shared" si="0"/>
        <v>152</v>
      </c>
      <c r="E12" s="112"/>
      <c r="F12" s="112">
        <v>8</v>
      </c>
      <c r="G12" s="112">
        <f t="shared" si="1"/>
        <v>0</v>
      </c>
      <c r="H12" s="112">
        <f t="shared" si="2"/>
        <v>152</v>
      </c>
      <c r="J12" s="109"/>
      <c r="K12" s="109"/>
      <c r="L12" s="109"/>
    </row>
    <row r="13" spans="1:15" ht="13.5" x14ac:dyDescent="0.3">
      <c r="A13" s="114" t="s">
        <v>179</v>
      </c>
      <c r="B13" s="112">
        <v>21</v>
      </c>
      <c r="C13" s="112">
        <v>8</v>
      </c>
      <c r="D13" s="112">
        <f t="shared" si="0"/>
        <v>168</v>
      </c>
      <c r="E13" s="112"/>
      <c r="F13" s="112">
        <v>8</v>
      </c>
      <c r="G13" s="112">
        <f t="shared" si="1"/>
        <v>0</v>
      </c>
      <c r="H13" s="112">
        <f t="shared" si="2"/>
        <v>168</v>
      </c>
      <c r="J13" s="109"/>
      <c r="K13" s="109"/>
      <c r="L13" s="109"/>
    </row>
    <row r="14" spans="1:15" ht="13.5" x14ac:dyDescent="0.3">
      <c r="A14" s="114" t="s">
        <v>180</v>
      </c>
      <c r="B14" s="112">
        <v>21</v>
      </c>
      <c r="C14" s="112">
        <v>8</v>
      </c>
      <c r="D14" s="112">
        <f t="shared" si="0"/>
        <v>168</v>
      </c>
      <c r="E14" s="112"/>
      <c r="F14" s="112">
        <v>8</v>
      </c>
      <c r="G14" s="112">
        <f t="shared" si="1"/>
        <v>0</v>
      </c>
      <c r="H14" s="112">
        <f t="shared" si="2"/>
        <v>168</v>
      </c>
      <c r="J14" s="109"/>
      <c r="K14" s="109"/>
      <c r="L14" s="109"/>
    </row>
    <row r="15" spans="1:15" ht="13.5" x14ac:dyDescent="0.3">
      <c r="A15" s="114" t="s">
        <v>181</v>
      </c>
      <c r="B15" s="112">
        <v>21</v>
      </c>
      <c r="C15" s="112">
        <v>8</v>
      </c>
      <c r="D15" s="112">
        <f t="shared" si="0"/>
        <v>168</v>
      </c>
      <c r="E15" s="112"/>
      <c r="F15" s="112">
        <v>8</v>
      </c>
      <c r="G15" s="112">
        <f t="shared" si="1"/>
        <v>0</v>
      </c>
      <c r="H15" s="112">
        <f t="shared" si="2"/>
        <v>168</v>
      </c>
      <c r="J15" s="109"/>
      <c r="K15" s="109"/>
      <c r="L15" s="109"/>
    </row>
    <row r="16" spans="1:15" ht="13.5" x14ac:dyDescent="0.3">
      <c r="A16" s="114" t="s">
        <v>182</v>
      </c>
      <c r="B16" s="112">
        <v>20</v>
      </c>
      <c r="C16" s="112">
        <v>8</v>
      </c>
      <c r="D16" s="112">
        <f t="shared" si="0"/>
        <v>160</v>
      </c>
      <c r="E16" s="112"/>
      <c r="F16" s="112">
        <v>8</v>
      </c>
      <c r="G16" s="112">
        <f t="shared" si="1"/>
        <v>0</v>
      </c>
      <c r="H16" s="112">
        <f t="shared" si="2"/>
        <v>160</v>
      </c>
      <c r="J16" s="109"/>
      <c r="K16" s="109"/>
      <c r="L16" s="109"/>
    </row>
    <row r="17" spans="1:15" ht="13.5" x14ac:dyDescent="0.3">
      <c r="A17" s="114" t="s">
        <v>183</v>
      </c>
      <c r="B17" s="112">
        <v>19</v>
      </c>
      <c r="C17" s="112">
        <v>8</v>
      </c>
      <c r="D17" s="112">
        <f t="shared" si="0"/>
        <v>152</v>
      </c>
      <c r="E17" s="112"/>
      <c r="F17" s="112">
        <v>8</v>
      </c>
      <c r="G17" s="112">
        <f t="shared" si="1"/>
        <v>0</v>
      </c>
      <c r="H17" s="112">
        <f t="shared" si="2"/>
        <v>152</v>
      </c>
      <c r="J17" s="109"/>
      <c r="K17" s="109"/>
      <c r="L17" s="109"/>
    </row>
    <row r="18" spans="1:15" ht="12.75" x14ac:dyDescent="0.25">
      <c r="A18" s="115" t="s">
        <v>5</v>
      </c>
      <c r="B18" s="111">
        <f>SUM(B6:B17)</f>
        <v>243</v>
      </c>
      <c r="C18" s="111"/>
      <c r="D18" s="111">
        <f>SUM(D6:D17)</f>
        <v>1944</v>
      </c>
      <c r="E18" s="111">
        <f>SUM(E6:E17)</f>
        <v>0</v>
      </c>
      <c r="F18" s="111"/>
      <c r="G18" s="111">
        <f>SUM(G6:G17)</f>
        <v>0</v>
      </c>
      <c r="H18" s="111">
        <f>SUM(H6:H17)</f>
        <v>1944</v>
      </c>
      <c r="I18" s="110"/>
      <c r="J18" s="108"/>
      <c r="K18" s="108"/>
      <c r="L18" s="108"/>
    </row>
    <row r="19" spans="1:15" x14ac:dyDescent="0.2">
      <c r="A19" s="113"/>
      <c r="B19" s="118"/>
      <c r="C19" s="85"/>
      <c r="D19" s="85"/>
      <c r="E19" s="85"/>
      <c r="F19" s="85"/>
      <c r="G19" s="86"/>
      <c r="H19" s="85"/>
      <c r="L19" s="109"/>
    </row>
    <row r="20" spans="1:15" ht="25.5" customHeight="1" x14ac:dyDescent="0.25">
      <c r="A20" s="617" t="s">
        <v>233</v>
      </c>
      <c r="B20" s="618"/>
    </row>
    <row r="21" spans="1:15" ht="12.75" x14ac:dyDescent="0.25">
      <c r="A21" s="115" t="s">
        <v>230</v>
      </c>
      <c r="B21" s="106">
        <f>+B18-E18</f>
        <v>243</v>
      </c>
      <c r="F21" s="108"/>
      <c r="G21" s="108"/>
      <c r="H21" s="108"/>
      <c r="I21" s="108"/>
      <c r="K21" s="108"/>
      <c r="L21" s="108"/>
      <c r="M21" s="108"/>
      <c r="N21" s="108"/>
    </row>
    <row r="22" spans="1:15" ht="12.75" x14ac:dyDescent="0.25">
      <c r="A22" s="115" t="s">
        <v>231</v>
      </c>
      <c r="B22" s="106">
        <f>+D18-G18</f>
        <v>1944</v>
      </c>
      <c r="G22" s="109"/>
      <c r="H22" s="109"/>
      <c r="I22" s="109"/>
      <c r="L22" s="109"/>
      <c r="M22" s="109"/>
      <c r="N22" s="109"/>
    </row>
    <row r="23" spans="1:15" x14ac:dyDescent="0.2">
      <c r="G23" s="109"/>
      <c r="H23" s="109"/>
      <c r="I23" s="109"/>
      <c r="L23" s="109"/>
      <c r="M23" s="109"/>
      <c r="N23" s="109"/>
    </row>
    <row r="24" spans="1:15" x14ac:dyDescent="0.2">
      <c r="G24" s="109"/>
      <c r="H24" s="109"/>
      <c r="I24" s="109"/>
      <c r="L24" s="109"/>
      <c r="M24" s="109"/>
      <c r="N24" s="109"/>
    </row>
    <row r="25" spans="1:15" ht="15" x14ac:dyDescent="0.25">
      <c r="A25" s="117" t="s">
        <v>168</v>
      </c>
      <c r="G25" s="109"/>
      <c r="H25" s="109"/>
      <c r="I25" s="109"/>
      <c r="L25" s="109"/>
      <c r="M25" s="109"/>
      <c r="N25" s="109"/>
    </row>
    <row r="26" spans="1:15" x14ac:dyDescent="0.2">
      <c r="G26" s="109"/>
      <c r="H26" s="109"/>
      <c r="I26" s="109"/>
      <c r="L26" s="109"/>
      <c r="M26" s="109"/>
      <c r="N26" s="109"/>
    </row>
    <row r="27" spans="1:15" s="85" customFormat="1" ht="17.25" customHeight="1" x14ac:dyDescent="0.25">
      <c r="A27" s="622" t="s">
        <v>232</v>
      </c>
      <c r="B27" s="622"/>
      <c r="C27" s="622"/>
      <c r="D27" s="622"/>
      <c r="E27" s="622"/>
      <c r="F27" s="622"/>
      <c r="G27" s="622"/>
      <c r="H27" s="622"/>
      <c r="I27" s="622"/>
      <c r="J27" s="622"/>
      <c r="K27" s="622"/>
      <c r="L27" s="622"/>
      <c r="M27" s="622"/>
      <c r="N27" s="622"/>
      <c r="O27" s="622"/>
    </row>
    <row r="28" spans="1:15" s="86" customFormat="1" ht="18" customHeight="1" x14ac:dyDescent="0.2">
      <c r="A28" s="623" t="s">
        <v>106</v>
      </c>
      <c r="B28" s="623" t="s">
        <v>107</v>
      </c>
      <c r="C28" s="623" t="s">
        <v>109</v>
      </c>
      <c r="D28" s="623" t="s">
        <v>110</v>
      </c>
      <c r="E28" s="623" t="s">
        <v>112</v>
      </c>
      <c r="F28" s="87" t="s">
        <v>113</v>
      </c>
      <c r="G28" s="87" t="s">
        <v>186</v>
      </c>
      <c r="H28" s="88" t="s">
        <v>114</v>
      </c>
      <c r="I28" s="88" t="s">
        <v>187</v>
      </c>
      <c r="J28" s="623" t="s">
        <v>188</v>
      </c>
      <c r="K28" s="625" t="s">
        <v>189</v>
      </c>
      <c r="L28" s="623" t="s">
        <v>190</v>
      </c>
      <c r="M28" s="623" t="s">
        <v>191</v>
      </c>
      <c r="N28" s="623" t="s">
        <v>192</v>
      </c>
    </row>
    <row r="29" spans="1:15" s="85" customFormat="1" x14ac:dyDescent="0.2">
      <c r="A29" s="624"/>
      <c r="B29" s="624"/>
      <c r="C29" s="624"/>
      <c r="D29" s="624"/>
      <c r="E29" s="624"/>
      <c r="F29" s="627" t="s">
        <v>193</v>
      </c>
      <c r="G29" s="627"/>
      <c r="H29" s="628" t="s">
        <v>194</v>
      </c>
      <c r="I29" s="628"/>
      <c r="J29" s="624"/>
      <c r="K29" s="626"/>
      <c r="L29" s="624"/>
      <c r="M29" s="624"/>
      <c r="N29" s="624"/>
    </row>
    <row r="30" spans="1:15" s="124" customFormat="1" ht="77.25" customHeight="1" x14ac:dyDescent="0.3">
      <c r="A30" s="120" t="s">
        <v>195</v>
      </c>
      <c r="B30" s="120" t="s">
        <v>196</v>
      </c>
      <c r="C30" s="121" t="s">
        <v>197</v>
      </c>
      <c r="D30" s="121" t="s">
        <v>184</v>
      </c>
      <c r="E30" s="122" t="s">
        <v>198</v>
      </c>
      <c r="F30" s="121" t="s">
        <v>199</v>
      </c>
      <c r="G30" s="121" t="s">
        <v>200</v>
      </c>
      <c r="H30" s="121" t="s">
        <v>201</v>
      </c>
      <c r="I30" s="121" t="s">
        <v>202</v>
      </c>
      <c r="J30" s="121" t="s">
        <v>203</v>
      </c>
      <c r="K30" s="123" t="s">
        <v>204</v>
      </c>
      <c r="L30" s="121" t="s">
        <v>205</v>
      </c>
      <c r="M30" s="121" t="s">
        <v>206</v>
      </c>
      <c r="N30" s="121" t="s">
        <v>207</v>
      </c>
    </row>
    <row r="31" spans="1:15" s="29" customFormat="1" ht="16.5" x14ac:dyDescent="0.3">
      <c r="A31" s="125"/>
      <c r="B31" s="125"/>
      <c r="C31" s="125"/>
      <c r="D31" s="125"/>
      <c r="E31" s="125"/>
      <c r="F31" s="126">
        <v>0.1</v>
      </c>
      <c r="G31" s="126">
        <v>0.05</v>
      </c>
      <c r="H31" s="126">
        <v>2.5000000000000001E-2</v>
      </c>
      <c r="I31" s="127">
        <f>+I32/E32</f>
        <v>6.1728395061728392E-2</v>
      </c>
      <c r="J31" s="128">
        <f>SUM(F31:I31)</f>
        <v>0.23672839506172841</v>
      </c>
      <c r="K31" s="129"/>
      <c r="L31" s="130"/>
      <c r="M31" s="130"/>
      <c r="N31" s="125"/>
    </row>
    <row r="32" spans="1:15" s="124" customFormat="1" ht="13.5" x14ac:dyDescent="0.3">
      <c r="A32" s="112" t="s">
        <v>417</v>
      </c>
      <c r="B32" s="112">
        <v>1</v>
      </c>
      <c r="C32" s="112">
        <f>+B21</f>
        <v>243</v>
      </c>
      <c r="D32" s="112">
        <v>0</v>
      </c>
      <c r="E32" s="131">
        <f t="shared" ref="E32:E38" si="3">+C32-D32</f>
        <v>243</v>
      </c>
      <c r="F32" s="132">
        <f t="shared" ref="F32:F38" si="4">+E32*$F$31</f>
        <v>24.3</v>
      </c>
      <c r="G32" s="133">
        <f t="shared" ref="G32:G38" si="5">+E32*$G$31</f>
        <v>12.15</v>
      </c>
      <c r="H32" s="133">
        <f t="shared" ref="H32:H38" si="6">+E32*$H$31</f>
        <v>6.0750000000000002</v>
      </c>
      <c r="I32" s="132">
        <v>15</v>
      </c>
      <c r="J32" s="132">
        <f>SUM(F32:I32)</f>
        <v>57.525000000000006</v>
      </c>
      <c r="K32" s="134">
        <f>+E32-J32</f>
        <v>185.47499999999999</v>
      </c>
      <c r="L32" s="135">
        <v>8</v>
      </c>
      <c r="M32" s="135">
        <f>+K32*L32</f>
        <v>1483.8</v>
      </c>
      <c r="N32" s="135">
        <f>+M32*B32</f>
        <v>1483.8</v>
      </c>
    </row>
    <row r="33" spans="1:14" s="124" customFormat="1" ht="13.5" x14ac:dyDescent="0.3">
      <c r="A33" s="112" t="s">
        <v>536</v>
      </c>
      <c r="B33" s="112">
        <v>2</v>
      </c>
      <c r="C33" s="112">
        <f>+B21</f>
        <v>243</v>
      </c>
      <c r="D33" s="112">
        <f>+'[2]2. Días -horas hábiles x vig'!D63</f>
        <v>0</v>
      </c>
      <c r="E33" s="131">
        <f t="shared" si="3"/>
        <v>243</v>
      </c>
      <c r="F33" s="132">
        <f t="shared" si="4"/>
        <v>24.3</v>
      </c>
      <c r="G33" s="133">
        <f t="shared" si="5"/>
        <v>12.15</v>
      </c>
      <c r="H33" s="133">
        <f t="shared" si="6"/>
        <v>6.0750000000000002</v>
      </c>
      <c r="I33" s="132">
        <v>0</v>
      </c>
      <c r="J33" s="132">
        <f>SUM(F33:I33)</f>
        <v>42.525000000000006</v>
      </c>
      <c r="K33" s="134">
        <f>+E33-J33</f>
        <v>200.47499999999999</v>
      </c>
      <c r="L33" s="135">
        <v>8</v>
      </c>
      <c r="M33" s="135">
        <f>+K33*L33</f>
        <v>1603.8</v>
      </c>
      <c r="N33" s="135">
        <f>+M33*B33</f>
        <v>3207.6</v>
      </c>
    </row>
    <row r="34" spans="1:14" s="124" customFormat="1" ht="13.5" x14ac:dyDescent="0.3">
      <c r="A34" s="112" t="s">
        <v>458</v>
      </c>
      <c r="B34" s="112">
        <v>6</v>
      </c>
      <c r="C34" s="112">
        <f>+B21</f>
        <v>243</v>
      </c>
      <c r="D34" s="112">
        <v>0</v>
      </c>
      <c r="E34" s="131">
        <f t="shared" si="3"/>
        <v>243</v>
      </c>
      <c r="F34" s="132">
        <f t="shared" si="4"/>
        <v>24.3</v>
      </c>
      <c r="G34" s="133">
        <f t="shared" si="5"/>
        <v>12.15</v>
      </c>
      <c r="H34" s="133">
        <f t="shared" si="6"/>
        <v>6.0750000000000002</v>
      </c>
      <c r="I34" s="132">
        <v>0</v>
      </c>
      <c r="J34" s="132">
        <f>SUM(F34:I34)</f>
        <v>42.525000000000006</v>
      </c>
      <c r="K34" s="134">
        <f>+E34-J34</f>
        <v>200.47499999999999</v>
      </c>
      <c r="L34" s="135">
        <v>8</v>
      </c>
      <c r="M34" s="135">
        <f>+K34*L34</f>
        <v>1603.8</v>
      </c>
      <c r="N34" s="135">
        <f>+M34*B34</f>
        <v>9622.7999999999993</v>
      </c>
    </row>
    <row r="35" spans="1:14" s="124" customFormat="1" ht="13.5" x14ac:dyDescent="0.3">
      <c r="A35" s="112"/>
      <c r="B35" s="112"/>
      <c r="C35" s="112"/>
      <c r="D35" s="112">
        <v>0</v>
      </c>
      <c r="E35" s="131">
        <f t="shared" si="3"/>
        <v>0</v>
      </c>
      <c r="F35" s="132">
        <f t="shared" si="4"/>
        <v>0</v>
      </c>
      <c r="G35" s="133">
        <f t="shared" si="5"/>
        <v>0</v>
      </c>
      <c r="H35" s="133">
        <f t="shared" si="6"/>
        <v>0</v>
      </c>
      <c r="I35" s="132">
        <v>0</v>
      </c>
      <c r="J35" s="132">
        <f t="shared" ref="J35:J42" si="7">SUM(F35:I35)</f>
        <v>0</v>
      </c>
      <c r="K35" s="134">
        <f t="shared" ref="K35:K42" si="8">+E35-J35</f>
        <v>0</v>
      </c>
      <c r="L35" s="135">
        <v>8</v>
      </c>
      <c r="M35" s="135">
        <f t="shared" ref="M35:M42" si="9">+K35*L35</f>
        <v>0</v>
      </c>
      <c r="N35" s="135">
        <f t="shared" ref="N35:N42" si="10">+M35*B35</f>
        <v>0</v>
      </c>
    </row>
    <row r="36" spans="1:14" s="124" customFormat="1" ht="13.5" x14ac:dyDescent="0.3">
      <c r="A36" s="112"/>
      <c r="B36" s="112"/>
      <c r="C36" s="112"/>
      <c r="D36" s="112">
        <v>0</v>
      </c>
      <c r="E36" s="131">
        <f t="shared" si="3"/>
        <v>0</v>
      </c>
      <c r="F36" s="132">
        <f t="shared" si="4"/>
        <v>0</v>
      </c>
      <c r="G36" s="133">
        <f t="shared" si="5"/>
        <v>0</v>
      </c>
      <c r="H36" s="133">
        <f t="shared" si="6"/>
        <v>0</v>
      </c>
      <c r="I36" s="132">
        <v>0</v>
      </c>
      <c r="J36" s="132">
        <f t="shared" si="7"/>
        <v>0</v>
      </c>
      <c r="K36" s="134">
        <f t="shared" si="8"/>
        <v>0</v>
      </c>
      <c r="L36" s="135">
        <v>8</v>
      </c>
      <c r="M36" s="135">
        <f t="shared" si="9"/>
        <v>0</v>
      </c>
      <c r="N36" s="135">
        <f t="shared" si="10"/>
        <v>0</v>
      </c>
    </row>
    <row r="37" spans="1:14" s="124" customFormat="1" ht="13.5" x14ac:dyDescent="0.3">
      <c r="A37" s="112"/>
      <c r="B37" s="112"/>
      <c r="C37" s="112"/>
      <c r="D37" s="112">
        <v>0</v>
      </c>
      <c r="E37" s="131">
        <f t="shared" si="3"/>
        <v>0</v>
      </c>
      <c r="F37" s="132">
        <f t="shared" si="4"/>
        <v>0</v>
      </c>
      <c r="G37" s="133">
        <f t="shared" si="5"/>
        <v>0</v>
      </c>
      <c r="H37" s="133">
        <f t="shared" si="6"/>
        <v>0</v>
      </c>
      <c r="I37" s="132">
        <v>0</v>
      </c>
      <c r="J37" s="132">
        <f t="shared" si="7"/>
        <v>0</v>
      </c>
      <c r="K37" s="134">
        <f t="shared" si="8"/>
        <v>0</v>
      </c>
      <c r="L37" s="135">
        <v>8</v>
      </c>
      <c r="M37" s="135">
        <f t="shared" si="9"/>
        <v>0</v>
      </c>
      <c r="N37" s="135">
        <f t="shared" si="10"/>
        <v>0</v>
      </c>
    </row>
    <row r="38" spans="1:14" s="124" customFormat="1" ht="13.5" x14ac:dyDescent="0.3">
      <c r="A38" s="112"/>
      <c r="B38" s="112"/>
      <c r="C38" s="112"/>
      <c r="D38" s="112">
        <v>0</v>
      </c>
      <c r="E38" s="131">
        <f t="shared" si="3"/>
        <v>0</v>
      </c>
      <c r="F38" s="132">
        <f t="shared" si="4"/>
        <v>0</v>
      </c>
      <c r="G38" s="133">
        <f t="shared" si="5"/>
        <v>0</v>
      </c>
      <c r="H38" s="133">
        <f t="shared" si="6"/>
        <v>0</v>
      </c>
      <c r="I38" s="132">
        <v>0</v>
      </c>
      <c r="J38" s="132">
        <f t="shared" si="7"/>
        <v>0</v>
      </c>
      <c r="K38" s="134">
        <f t="shared" si="8"/>
        <v>0</v>
      </c>
      <c r="L38" s="135">
        <v>8</v>
      </c>
      <c r="M38" s="135">
        <f t="shared" si="9"/>
        <v>0</v>
      </c>
      <c r="N38" s="135">
        <f t="shared" si="10"/>
        <v>0</v>
      </c>
    </row>
    <row r="39" spans="1:14" s="124" customFormat="1" ht="13.5" x14ac:dyDescent="0.3">
      <c r="A39" s="112"/>
      <c r="B39" s="112"/>
      <c r="C39" s="112"/>
      <c r="D39" s="112"/>
      <c r="E39" s="131"/>
      <c r="F39" s="132"/>
      <c r="G39" s="133"/>
      <c r="H39" s="133"/>
      <c r="I39" s="132"/>
      <c r="J39" s="132">
        <f t="shared" si="7"/>
        <v>0</v>
      </c>
      <c r="K39" s="134">
        <f t="shared" si="8"/>
        <v>0</v>
      </c>
      <c r="L39" s="135"/>
      <c r="M39" s="135">
        <f t="shared" si="9"/>
        <v>0</v>
      </c>
      <c r="N39" s="135">
        <f t="shared" si="10"/>
        <v>0</v>
      </c>
    </row>
    <row r="40" spans="1:14" s="124" customFormat="1" ht="13.5" x14ac:dyDescent="0.3">
      <c r="A40" s="112"/>
      <c r="B40" s="112"/>
      <c r="C40" s="112"/>
      <c r="D40" s="112"/>
      <c r="E40" s="131"/>
      <c r="F40" s="132"/>
      <c r="G40" s="133"/>
      <c r="H40" s="133"/>
      <c r="I40" s="132"/>
      <c r="J40" s="132">
        <f t="shared" si="7"/>
        <v>0</v>
      </c>
      <c r="K40" s="134">
        <f t="shared" si="8"/>
        <v>0</v>
      </c>
      <c r="L40" s="135"/>
      <c r="M40" s="135">
        <f t="shared" si="9"/>
        <v>0</v>
      </c>
      <c r="N40" s="135">
        <f t="shared" si="10"/>
        <v>0</v>
      </c>
    </row>
    <row r="41" spans="1:14" s="124" customFormat="1" ht="13.5" x14ac:dyDescent="0.3">
      <c r="A41" s="112"/>
      <c r="B41" s="112"/>
      <c r="C41" s="112"/>
      <c r="D41" s="112"/>
      <c r="E41" s="131"/>
      <c r="F41" s="132"/>
      <c r="G41" s="133"/>
      <c r="H41" s="133"/>
      <c r="I41" s="132"/>
      <c r="J41" s="132">
        <f t="shared" si="7"/>
        <v>0</v>
      </c>
      <c r="K41" s="134">
        <f t="shared" si="8"/>
        <v>0</v>
      </c>
      <c r="L41" s="135"/>
      <c r="M41" s="135">
        <f t="shared" si="9"/>
        <v>0</v>
      </c>
      <c r="N41" s="135">
        <f t="shared" si="10"/>
        <v>0</v>
      </c>
    </row>
    <row r="42" spans="1:14" s="124" customFormat="1" ht="13.5" x14ac:dyDescent="0.3">
      <c r="A42" s="112"/>
      <c r="B42" s="112"/>
      <c r="C42" s="112"/>
      <c r="D42" s="112"/>
      <c r="E42" s="131"/>
      <c r="F42" s="132"/>
      <c r="G42" s="133"/>
      <c r="H42" s="133"/>
      <c r="I42" s="132"/>
      <c r="J42" s="132">
        <f t="shared" si="7"/>
        <v>0</v>
      </c>
      <c r="K42" s="134">
        <f t="shared" si="8"/>
        <v>0</v>
      </c>
      <c r="L42" s="135"/>
      <c r="M42" s="135">
        <f t="shared" si="9"/>
        <v>0</v>
      </c>
      <c r="N42" s="135">
        <f t="shared" si="10"/>
        <v>0</v>
      </c>
    </row>
    <row r="43" spans="1:14" s="124" customFormat="1" ht="13.5" x14ac:dyDescent="0.3">
      <c r="A43" s="136"/>
      <c r="B43" s="137"/>
      <c r="C43" s="137"/>
      <c r="D43" s="137"/>
      <c r="E43" s="137"/>
      <c r="F43" s="137"/>
      <c r="G43" s="137"/>
      <c r="H43" s="137"/>
      <c r="I43" s="137"/>
      <c r="J43" s="138" t="s">
        <v>224</v>
      </c>
      <c r="K43" s="139">
        <f>SUM(K32:K42)</f>
        <v>586.42499999999995</v>
      </c>
      <c r="L43" s="139"/>
      <c r="M43" s="139"/>
      <c r="N43" s="139">
        <f>SUM(N32:N42)</f>
        <v>14314.199999999999</v>
      </c>
    </row>
    <row r="44" spans="1:14" s="140" customFormat="1" ht="13.5" x14ac:dyDescent="0.3"/>
    <row r="45" spans="1:14" s="140" customFormat="1" ht="13.5" x14ac:dyDescent="0.3"/>
    <row r="46" spans="1:14" s="140" customFormat="1" ht="13.5" x14ac:dyDescent="0.3"/>
    <row r="48" spans="1:14" ht="23.25" customHeight="1" x14ac:dyDescent="0.25">
      <c r="A48" s="617" t="s">
        <v>234</v>
      </c>
      <c r="B48" s="618"/>
    </row>
    <row r="49" spans="1:3" ht="22.5" customHeight="1" x14ac:dyDescent="0.25">
      <c r="A49" s="115" t="s">
        <v>230</v>
      </c>
      <c r="B49" s="141">
        <f>K43</f>
        <v>586.42499999999995</v>
      </c>
    </row>
    <row r="50" spans="1:3" ht="27.75" customHeight="1" x14ac:dyDescent="0.25">
      <c r="A50" s="142" t="s">
        <v>235</v>
      </c>
      <c r="B50" s="141">
        <f>+N43</f>
        <v>14314.199999999999</v>
      </c>
    </row>
    <row r="54" spans="1:3" ht="12" thickBot="1" x14ac:dyDescent="0.25"/>
    <row r="55" spans="1:3" ht="41.25" customHeight="1" x14ac:dyDescent="0.25">
      <c r="A55" s="620" t="s">
        <v>257</v>
      </c>
      <c r="B55" s="621"/>
    </row>
    <row r="56" spans="1:3" ht="15" x14ac:dyDescent="0.25">
      <c r="A56" s="5"/>
      <c r="B56" s="156" t="s">
        <v>170</v>
      </c>
    </row>
    <row r="57" spans="1:3" ht="25.5" x14ac:dyDescent="0.25">
      <c r="A57" s="157" t="s">
        <v>103</v>
      </c>
      <c r="B57" s="158">
        <f>+'1. Horas requeridas PAAI'!I101</f>
        <v>16433</v>
      </c>
    </row>
    <row r="58" spans="1:3" ht="25.5" x14ac:dyDescent="0.25">
      <c r="A58" s="157" t="s">
        <v>185</v>
      </c>
      <c r="B58" s="159">
        <f>+B50</f>
        <v>14314.199999999999</v>
      </c>
    </row>
    <row r="59" spans="1:3" ht="12.75" x14ac:dyDescent="0.25">
      <c r="A59" s="157" t="s">
        <v>259</v>
      </c>
      <c r="B59" s="159">
        <f>+B58-B57</f>
        <v>-2118.8000000000011</v>
      </c>
      <c r="C59" s="206">
        <f>+B59/1624</f>
        <v>-1.3046798029556657</v>
      </c>
    </row>
    <row r="60" spans="1:3" ht="36.75" customHeight="1" thickBot="1" x14ac:dyDescent="0.3">
      <c r="A60" s="160" t="s">
        <v>258</v>
      </c>
      <c r="B60" s="161" t="str">
        <f>IF(B58&gt;B57,"NO PRESENTA DÉFICIT","PRESENTA DÉFICIT")</f>
        <v>PRESENTA DÉFICIT</v>
      </c>
    </row>
    <row r="61" spans="1:3" ht="15" x14ac:dyDescent="0.25">
      <c r="A61"/>
      <c r="B61"/>
    </row>
    <row r="62" spans="1:3" ht="15" x14ac:dyDescent="0.25">
      <c r="A62"/>
    </row>
  </sheetData>
  <mergeCells count="19">
    <mergeCell ref="C28:C29"/>
    <mergeCell ref="D28:D29"/>
    <mergeCell ref="E28:E29"/>
    <mergeCell ref="B1:G1"/>
    <mergeCell ref="A20:B20"/>
    <mergeCell ref="A3:H3"/>
    <mergeCell ref="A55:B55"/>
    <mergeCell ref="A4:H4"/>
    <mergeCell ref="A27:O27"/>
    <mergeCell ref="A48:B48"/>
    <mergeCell ref="J28:J29"/>
    <mergeCell ref="K28:K29"/>
    <mergeCell ref="L28:L29"/>
    <mergeCell ref="M28:M29"/>
    <mergeCell ref="N28:N29"/>
    <mergeCell ref="F29:G29"/>
    <mergeCell ref="H29:I29"/>
    <mergeCell ref="A28:A29"/>
    <mergeCell ref="B28:B29"/>
  </mergeCells>
  <dataValidations count="8">
    <dataValidation allowBlank="1" showInputMessage="1" showErrorMessage="1" prompt="Registre el numero de auditores de la OCI, discrimado por tipo de vinculacion ej Carrera Administrativa, Provisional o Contratista" sqref="B30"/>
    <dataValidation allowBlank="1" showInputMessage="1" showErrorMessage="1" prompt="Registre el tipo de vinculacion por auditor disponible en el equipo: Carrera Administrativa, Provisional,  Contratista  u otro." sqref="A30"/>
    <dataValidation allowBlank="1" showInputMessage="1" showErrorMessage="1" prompt="En caso de contar con auditores con permiso sindical registrelo de manera independiente, para efectuar el calculo respectivo" sqref="D30"/>
    <dataValidation allowBlank="1" showInputMessage="1" showErrorMessage="1" prompt="Registre en la celda inferior (amarilla) el % estimado a actividades administrativas y/o atencion a entes de control" sqref="F30"/>
    <dataValidation allowBlank="1" showInputMessage="1" showErrorMessage="1" prompt="Registre en celda inferior (amarilla) &quot; el % estimado a reuniones y/o capacitaciones" sqref="G30"/>
    <dataValidation allowBlank="1" showInputMessage="1" showErrorMessage="1" prompt="Registre en la en la celda inferior (amarilla) el % estimado por incapacidades y permisos" sqref="H30"/>
    <dataValidation allowBlank="1" showInputMessage="1" showErrorMessage="1" prompt="Registre los 15 dias habiles correspondientes de los auditores con derecho a disfrute a vacaciones" sqref="I30"/>
    <dataValidation allowBlank="1" showInputMessage="1" showErrorMessage="1" prompt="Registre el numero de horas laborables por tipo de vinculacion" sqref="L30"/>
  </dataValidations>
  <hyperlinks>
    <hyperlink ref="A25" r:id="rId1"/>
  </hyperlink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pane ySplit="2" topLeftCell="A7" activePane="bottomLeft" state="frozen"/>
      <selection activeCell="C8" sqref="C8:V8"/>
      <selection pane="bottomLeft" activeCell="I7" sqref="I7"/>
    </sheetView>
  </sheetViews>
  <sheetFormatPr baseColWidth="10" defaultColWidth="18.85546875" defaultRowHeight="14.25" x14ac:dyDescent="0.25"/>
  <cols>
    <col min="1" max="1" width="20.140625" style="339" bestFit="1" customWidth="1"/>
    <col min="2" max="2" width="14.28515625" style="339" bestFit="1" customWidth="1"/>
    <col min="3" max="3" width="14" style="339" bestFit="1" customWidth="1"/>
    <col min="4" max="4" width="21.7109375" style="339" bestFit="1" customWidth="1"/>
    <col min="5" max="5" width="17.5703125" style="339" bestFit="1" customWidth="1"/>
    <col min="6" max="6" width="28.28515625" style="339" bestFit="1" customWidth="1"/>
    <col min="7" max="7" width="45.7109375" style="339" customWidth="1"/>
    <col min="8" max="8" width="102" style="339" bestFit="1" customWidth="1"/>
    <col min="9" max="9" width="26.5703125" style="339" customWidth="1"/>
    <col min="10" max="10" width="14" style="339" bestFit="1" customWidth="1"/>
    <col min="11" max="11" width="18.140625" style="339" bestFit="1" customWidth="1"/>
    <col min="12" max="12" width="20.42578125" style="339" bestFit="1" customWidth="1"/>
    <col min="13" max="13" width="18.140625" style="339" bestFit="1" customWidth="1"/>
    <col min="14" max="14" width="15" style="339" bestFit="1" customWidth="1"/>
    <col min="15" max="15" width="18.85546875" style="339" bestFit="1" customWidth="1"/>
    <col min="16" max="16" width="19.140625" style="339" bestFit="1" customWidth="1"/>
    <col min="17" max="17" width="24" style="339" bestFit="1" customWidth="1"/>
    <col min="18" max="18" width="22.140625" style="339" bestFit="1" customWidth="1"/>
    <col min="19" max="19" width="20.85546875" style="339" bestFit="1" customWidth="1"/>
    <col min="20" max="20" width="17" style="339" bestFit="1" customWidth="1"/>
    <col min="21" max="21" width="15.140625" style="339" bestFit="1" customWidth="1"/>
    <col min="22" max="22" width="14.28515625" style="339" bestFit="1" customWidth="1"/>
    <col min="23" max="23" width="15.42578125" style="339" bestFit="1" customWidth="1"/>
    <col min="24" max="24" width="16" style="339" bestFit="1" customWidth="1"/>
    <col min="25" max="16384" width="18.85546875" style="339"/>
  </cols>
  <sheetData>
    <row r="1" spans="1:24" ht="15.75" thickBot="1" x14ac:dyDescent="0.3">
      <c r="I1" s="629" t="s">
        <v>549</v>
      </c>
      <c r="J1" s="630"/>
      <c r="K1" s="630"/>
      <c r="L1" s="630"/>
      <c r="M1" s="630"/>
      <c r="N1" s="630"/>
      <c r="O1" s="631"/>
      <c r="P1" s="632" t="s">
        <v>554</v>
      </c>
      <c r="Q1" s="633"/>
      <c r="R1" s="633"/>
      <c r="S1" s="633"/>
      <c r="T1" s="633"/>
      <c r="U1" s="633"/>
      <c r="V1" s="634"/>
    </row>
    <row r="2" spans="1:24" ht="75.75" thickBot="1" x14ac:dyDescent="0.3">
      <c r="A2" s="353" t="s">
        <v>465</v>
      </c>
      <c r="B2" s="381" t="s">
        <v>466</v>
      </c>
      <c r="C2" s="381" t="s">
        <v>467</v>
      </c>
      <c r="D2" s="381" t="s">
        <v>468</v>
      </c>
      <c r="E2" s="381" t="s">
        <v>469</v>
      </c>
      <c r="F2" s="381" t="s">
        <v>470</v>
      </c>
      <c r="G2" s="381" t="s">
        <v>555</v>
      </c>
      <c r="H2" s="354" t="s">
        <v>471</v>
      </c>
      <c r="I2" s="356" t="s">
        <v>552</v>
      </c>
      <c r="J2" s="357" t="s">
        <v>472</v>
      </c>
      <c r="K2" s="357" t="s">
        <v>473</v>
      </c>
      <c r="L2" s="357" t="s">
        <v>474</v>
      </c>
      <c r="M2" s="357" t="s">
        <v>475</v>
      </c>
      <c r="N2" s="357" t="s">
        <v>550</v>
      </c>
      <c r="O2" s="358" t="s">
        <v>551</v>
      </c>
      <c r="P2" s="382" t="s">
        <v>553</v>
      </c>
      <c r="Q2" s="383" t="s">
        <v>472</v>
      </c>
      <c r="R2" s="383" t="s">
        <v>473</v>
      </c>
      <c r="S2" s="383" t="s">
        <v>474</v>
      </c>
      <c r="T2" s="383" t="s">
        <v>475</v>
      </c>
      <c r="U2" s="383" t="s">
        <v>550</v>
      </c>
      <c r="V2" s="384" t="s">
        <v>551</v>
      </c>
      <c r="W2" s="353" t="s">
        <v>476</v>
      </c>
      <c r="X2" s="354" t="s">
        <v>491</v>
      </c>
    </row>
    <row r="3" spans="1:24" ht="85.5" x14ac:dyDescent="0.25">
      <c r="A3" s="374" t="s">
        <v>477</v>
      </c>
      <c r="B3" s="352" t="s">
        <v>386</v>
      </c>
      <c r="C3" s="352">
        <v>3153481040</v>
      </c>
      <c r="D3" s="378" t="s">
        <v>478</v>
      </c>
      <c r="E3" s="352">
        <v>84111603</v>
      </c>
      <c r="F3" s="352" t="s">
        <v>538</v>
      </c>
      <c r="G3" s="379" t="s">
        <v>556</v>
      </c>
      <c r="H3" s="380" t="s">
        <v>486</v>
      </c>
      <c r="I3" s="359" t="s">
        <v>564</v>
      </c>
      <c r="J3" s="336">
        <v>5</v>
      </c>
      <c r="K3" s="335" t="s">
        <v>480</v>
      </c>
      <c r="L3" s="335" t="s">
        <v>481</v>
      </c>
      <c r="M3" s="335" t="s">
        <v>482</v>
      </c>
      <c r="N3" s="355">
        <v>7500000</v>
      </c>
      <c r="O3" s="360">
        <f t="shared" ref="O3:O10" si="0">+N3*5</f>
        <v>37500000</v>
      </c>
      <c r="P3" s="385" t="s">
        <v>565</v>
      </c>
      <c r="Q3" s="348">
        <v>7</v>
      </c>
      <c r="R3" s="348" t="s">
        <v>480</v>
      </c>
      <c r="S3" s="348" t="s">
        <v>481</v>
      </c>
      <c r="T3" s="348" t="s">
        <v>482</v>
      </c>
      <c r="U3" s="349">
        <v>7725000</v>
      </c>
      <c r="V3" s="350">
        <v>54075000</v>
      </c>
      <c r="W3" s="374" t="s">
        <v>483</v>
      </c>
      <c r="X3" s="375" t="s">
        <v>547</v>
      </c>
    </row>
    <row r="4" spans="1:24" ht="114" x14ac:dyDescent="0.25">
      <c r="A4" s="367" t="s">
        <v>477</v>
      </c>
      <c r="B4" s="332" t="s">
        <v>386</v>
      </c>
      <c r="C4" s="332">
        <v>3153481040</v>
      </c>
      <c r="D4" s="334" t="s">
        <v>478</v>
      </c>
      <c r="E4" s="332">
        <v>84111603</v>
      </c>
      <c r="F4" s="332" t="s">
        <v>539</v>
      </c>
      <c r="G4" s="333" t="s">
        <v>557</v>
      </c>
      <c r="H4" s="368" t="s">
        <v>479</v>
      </c>
      <c r="I4" s="359" t="s">
        <v>564</v>
      </c>
      <c r="J4" s="338">
        <v>5</v>
      </c>
      <c r="K4" s="337" t="s">
        <v>480</v>
      </c>
      <c r="L4" s="337" t="s">
        <v>481</v>
      </c>
      <c r="M4" s="337" t="s">
        <v>482</v>
      </c>
      <c r="N4" s="342">
        <v>7500000</v>
      </c>
      <c r="O4" s="361">
        <f t="shared" si="0"/>
        <v>37500000</v>
      </c>
      <c r="P4" s="385" t="s">
        <v>565</v>
      </c>
      <c r="Q4" s="340">
        <v>7</v>
      </c>
      <c r="R4" s="340" t="s">
        <v>480</v>
      </c>
      <c r="S4" s="340" t="s">
        <v>481</v>
      </c>
      <c r="T4" s="340" t="s">
        <v>482</v>
      </c>
      <c r="U4" s="341">
        <v>7725000</v>
      </c>
      <c r="V4" s="343">
        <v>54075000</v>
      </c>
      <c r="W4" s="367" t="s">
        <v>483</v>
      </c>
      <c r="X4" s="376" t="s">
        <v>547</v>
      </c>
    </row>
    <row r="5" spans="1:24" ht="142.5" x14ac:dyDescent="0.25">
      <c r="A5" s="367" t="s">
        <v>477</v>
      </c>
      <c r="B5" s="332" t="s">
        <v>386</v>
      </c>
      <c r="C5" s="332">
        <v>3153481040</v>
      </c>
      <c r="D5" s="334" t="s">
        <v>478</v>
      </c>
      <c r="E5" s="332">
        <v>84111603</v>
      </c>
      <c r="F5" s="332" t="s">
        <v>540</v>
      </c>
      <c r="G5" s="333" t="s">
        <v>558</v>
      </c>
      <c r="H5" s="368" t="s">
        <v>485</v>
      </c>
      <c r="I5" s="359" t="s">
        <v>564</v>
      </c>
      <c r="J5" s="338">
        <v>5</v>
      </c>
      <c r="K5" s="337" t="s">
        <v>480</v>
      </c>
      <c r="L5" s="337" t="s">
        <v>481</v>
      </c>
      <c r="M5" s="337" t="s">
        <v>482</v>
      </c>
      <c r="N5" s="342">
        <v>7500000</v>
      </c>
      <c r="O5" s="361">
        <f t="shared" si="0"/>
        <v>37500000</v>
      </c>
      <c r="P5" s="385" t="s">
        <v>565</v>
      </c>
      <c r="Q5" s="340">
        <v>7</v>
      </c>
      <c r="R5" s="340" t="s">
        <v>480</v>
      </c>
      <c r="S5" s="340" t="s">
        <v>481</v>
      </c>
      <c r="T5" s="340" t="s">
        <v>482</v>
      </c>
      <c r="U5" s="341">
        <v>7725000</v>
      </c>
      <c r="V5" s="343">
        <v>54075000</v>
      </c>
      <c r="W5" s="367" t="s">
        <v>483</v>
      </c>
      <c r="X5" s="376" t="s">
        <v>547</v>
      </c>
    </row>
    <row r="6" spans="1:24" ht="156.75" x14ac:dyDescent="0.25">
      <c r="A6" s="367" t="s">
        <v>477</v>
      </c>
      <c r="B6" s="332" t="s">
        <v>386</v>
      </c>
      <c r="C6" s="332">
        <v>3153481040</v>
      </c>
      <c r="D6" s="334" t="s">
        <v>478</v>
      </c>
      <c r="E6" s="332">
        <v>84111603</v>
      </c>
      <c r="F6" s="332" t="s">
        <v>541</v>
      </c>
      <c r="G6" s="333" t="s">
        <v>559</v>
      </c>
      <c r="H6" s="368" t="s">
        <v>546</v>
      </c>
      <c r="I6" s="359" t="s">
        <v>564</v>
      </c>
      <c r="J6" s="338">
        <v>5</v>
      </c>
      <c r="K6" s="337" t="s">
        <v>480</v>
      </c>
      <c r="L6" s="337" t="s">
        <v>481</v>
      </c>
      <c r="M6" s="337" t="s">
        <v>482</v>
      </c>
      <c r="N6" s="342">
        <v>7500000</v>
      </c>
      <c r="O6" s="361">
        <f t="shared" si="0"/>
        <v>37500000</v>
      </c>
      <c r="P6" s="385" t="s">
        <v>565</v>
      </c>
      <c r="Q6" s="340">
        <v>7</v>
      </c>
      <c r="R6" s="340" t="s">
        <v>480</v>
      </c>
      <c r="S6" s="340" t="s">
        <v>481</v>
      </c>
      <c r="T6" s="340" t="s">
        <v>482</v>
      </c>
      <c r="U6" s="341">
        <v>7725000</v>
      </c>
      <c r="V6" s="343">
        <v>54075000</v>
      </c>
      <c r="W6" s="367" t="s">
        <v>483</v>
      </c>
      <c r="X6" s="376" t="s">
        <v>547</v>
      </c>
    </row>
    <row r="7" spans="1:24" ht="99.75" x14ac:dyDescent="0.25">
      <c r="A7" s="367" t="s">
        <v>477</v>
      </c>
      <c r="B7" s="332" t="s">
        <v>386</v>
      </c>
      <c r="C7" s="332">
        <v>3153481040</v>
      </c>
      <c r="D7" s="334" t="s">
        <v>478</v>
      </c>
      <c r="E7" s="332">
        <v>84111603</v>
      </c>
      <c r="F7" s="332" t="s">
        <v>542</v>
      </c>
      <c r="G7" s="333" t="s">
        <v>560</v>
      </c>
      <c r="H7" s="368" t="s">
        <v>484</v>
      </c>
      <c r="I7" s="359" t="s">
        <v>564</v>
      </c>
      <c r="J7" s="338">
        <v>5</v>
      </c>
      <c r="K7" s="337" t="s">
        <v>480</v>
      </c>
      <c r="L7" s="337" t="s">
        <v>481</v>
      </c>
      <c r="M7" s="337" t="s">
        <v>482</v>
      </c>
      <c r="N7" s="342">
        <v>7500000</v>
      </c>
      <c r="O7" s="361">
        <f t="shared" si="0"/>
        <v>37500000</v>
      </c>
      <c r="P7" s="385" t="s">
        <v>565</v>
      </c>
      <c r="Q7" s="340">
        <v>7</v>
      </c>
      <c r="R7" s="340" t="s">
        <v>480</v>
      </c>
      <c r="S7" s="340" t="s">
        <v>481</v>
      </c>
      <c r="T7" s="340" t="s">
        <v>482</v>
      </c>
      <c r="U7" s="341">
        <v>7725000</v>
      </c>
      <c r="V7" s="343">
        <v>54075000</v>
      </c>
      <c r="W7" s="367" t="s">
        <v>483</v>
      </c>
      <c r="X7" s="376" t="s">
        <v>548</v>
      </c>
    </row>
    <row r="8" spans="1:24" ht="114" x14ac:dyDescent="0.25">
      <c r="A8" s="367" t="s">
        <v>477</v>
      </c>
      <c r="B8" s="332" t="s">
        <v>386</v>
      </c>
      <c r="C8" s="332">
        <v>3153481040</v>
      </c>
      <c r="D8" s="334" t="s">
        <v>478</v>
      </c>
      <c r="E8" s="332">
        <v>84111603</v>
      </c>
      <c r="F8" s="332" t="s">
        <v>543</v>
      </c>
      <c r="G8" s="333" t="s">
        <v>561</v>
      </c>
      <c r="H8" s="368" t="s">
        <v>488</v>
      </c>
      <c r="I8" s="359" t="s">
        <v>564</v>
      </c>
      <c r="J8" s="338">
        <v>5</v>
      </c>
      <c r="K8" s="337" t="s">
        <v>480</v>
      </c>
      <c r="L8" s="337" t="s">
        <v>481</v>
      </c>
      <c r="M8" s="337" t="s">
        <v>482</v>
      </c>
      <c r="N8" s="342">
        <v>7500000</v>
      </c>
      <c r="O8" s="361">
        <f t="shared" si="0"/>
        <v>37500000</v>
      </c>
      <c r="P8" s="385" t="s">
        <v>565</v>
      </c>
      <c r="Q8" s="340">
        <v>7</v>
      </c>
      <c r="R8" s="340" t="s">
        <v>480</v>
      </c>
      <c r="S8" s="340" t="s">
        <v>481</v>
      </c>
      <c r="T8" s="340" t="s">
        <v>482</v>
      </c>
      <c r="U8" s="341">
        <v>7725000</v>
      </c>
      <c r="V8" s="343">
        <v>54075000</v>
      </c>
      <c r="W8" s="367" t="s">
        <v>483</v>
      </c>
      <c r="X8" s="376" t="s">
        <v>548</v>
      </c>
    </row>
    <row r="9" spans="1:24" ht="85.5" x14ac:dyDescent="0.25">
      <c r="A9" s="367" t="s">
        <v>477</v>
      </c>
      <c r="B9" s="332" t="s">
        <v>386</v>
      </c>
      <c r="C9" s="332">
        <v>3153481040</v>
      </c>
      <c r="D9" s="334" t="s">
        <v>478</v>
      </c>
      <c r="E9" s="332">
        <v>84111603</v>
      </c>
      <c r="F9" s="332" t="s">
        <v>544</v>
      </c>
      <c r="G9" s="333" t="s">
        <v>562</v>
      </c>
      <c r="H9" s="368" t="s">
        <v>487</v>
      </c>
      <c r="I9" s="359" t="s">
        <v>564</v>
      </c>
      <c r="J9" s="338">
        <v>5</v>
      </c>
      <c r="K9" s="337" t="s">
        <v>480</v>
      </c>
      <c r="L9" s="337" t="s">
        <v>481</v>
      </c>
      <c r="M9" s="337" t="s">
        <v>482</v>
      </c>
      <c r="N9" s="342">
        <v>4085850</v>
      </c>
      <c r="O9" s="361">
        <f t="shared" si="0"/>
        <v>20429250</v>
      </c>
      <c r="P9" s="385" t="s">
        <v>565</v>
      </c>
      <c r="Q9" s="340">
        <v>7</v>
      </c>
      <c r="R9" s="340" t="s">
        <v>480</v>
      </c>
      <c r="S9" s="340" t="s">
        <v>481</v>
      </c>
      <c r="T9" s="340" t="s">
        <v>482</v>
      </c>
      <c r="U9" s="341">
        <v>4208425.5</v>
      </c>
      <c r="V9" s="343">
        <v>29458982</v>
      </c>
      <c r="W9" s="367" t="s">
        <v>483</v>
      </c>
      <c r="X9" s="376" t="s">
        <v>548</v>
      </c>
    </row>
    <row r="10" spans="1:24" ht="86.25" thickBot="1" x14ac:dyDescent="0.3">
      <c r="A10" s="367" t="s">
        <v>477</v>
      </c>
      <c r="B10" s="332" t="s">
        <v>386</v>
      </c>
      <c r="C10" s="332">
        <v>3153481040</v>
      </c>
      <c r="D10" s="334" t="s">
        <v>478</v>
      </c>
      <c r="E10" s="332">
        <v>84111603</v>
      </c>
      <c r="F10" s="332" t="s">
        <v>545</v>
      </c>
      <c r="G10" s="333" t="s">
        <v>563</v>
      </c>
      <c r="H10" s="368" t="s">
        <v>487</v>
      </c>
      <c r="I10" s="359" t="s">
        <v>564</v>
      </c>
      <c r="J10" s="338">
        <v>5</v>
      </c>
      <c r="K10" s="337" t="s">
        <v>480</v>
      </c>
      <c r="L10" s="337" t="s">
        <v>481</v>
      </c>
      <c r="M10" s="337" t="s">
        <v>482</v>
      </c>
      <c r="N10" s="342">
        <v>4041716</v>
      </c>
      <c r="O10" s="361">
        <f t="shared" si="0"/>
        <v>20208580</v>
      </c>
      <c r="P10" s="385" t="s">
        <v>565</v>
      </c>
      <c r="Q10" s="340">
        <v>7</v>
      </c>
      <c r="R10" s="340" t="s">
        <v>480</v>
      </c>
      <c r="S10" s="340" t="s">
        <v>481</v>
      </c>
      <c r="T10" s="340" t="s">
        <v>482</v>
      </c>
      <c r="U10" s="341">
        <v>4208426</v>
      </c>
      <c r="V10" s="343">
        <v>29458982</v>
      </c>
      <c r="W10" s="369" t="s">
        <v>483</v>
      </c>
      <c r="X10" s="377" t="s">
        <v>548</v>
      </c>
    </row>
    <row r="11" spans="1:24" ht="157.5" hidden="1" thickBot="1" x14ac:dyDescent="0.3">
      <c r="A11" s="369" t="s">
        <v>477</v>
      </c>
      <c r="B11" s="370" t="s">
        <v>386</v>
      </c>
      <c r="C11" s="370">
        <v>3153481040</v>
      </c>
      <c r="D11" s="371" t="s">
        <v>478</v>
      </c>
      <c r="E11" s="370">
        <v>84111603</v>
      </c>
      <c r="F11" s="370" t="s">
        <v>489</v>
      </c>
      <c r="G11" s="372" t="s">
        <v>559</v>
      </c>
      <c r="H11" s="373" t="s">
        <v>490</v>
      </c>
      <c r="I11" s="362" t="s">
        <v>178</v>
      </c>
      <c r="J11" s="363">
        <v>0</v>
      </c>
      <c r="K11" s="364">
        <v>0</v>
      </c>
      <c r="L11" s="364">
        <v>0</v>
      </c>
      <c r="M11" s="364">
        <v>0</v>
      </c>
      <c r="N11" s="365">
        <v>0</v>
      </c>
      <c r="O11" s="366">
        <v>0</v>
      </c>
      <c r="P11" s="344" t="s">
        <v>178</v>
      </c>
      <c r="Q11" s="345">
        <v>7</v>
      </c>
      <c r="R11" s="345" t="s">
        <v>480</v>
      </c>
      <c r="S11" s="345" t="s">
        <v>481</v>
      </c>
      <c r="T11" s="345" t="s">
        <v>482</v>
      </c>
      <c r="U11" s="346">
        <v>7725000</v>
      </c>
      <c r="V11" s="347">
        <v>54075000</v>
      </c>
      <c r="W11" s="351" t="s">
        <v>483</v>
      </c>
      <c r="X11" s="352" t="s">
        <v>548</v>
      </c>
    </row>
  </sheetData>
  <mergeCells count="2">
    <mergeCell ref="I1:O1"/>
    <mergeCell ref="P1:V1"/>
  </mergeCells>
  <phoneticPr fontId="59" type="noConversion"/>
  <hyperlinks>
    <hyperlink ref="D3" r:id="rId1"/>
    <hyperlink ref="D4:D11" r:id="rId2" display="jvillalbam@eru.gov.co"/>
  </hyperlinks>
  <pageMargins left="0.7" right="0.7" top="0.75" bottom="0.75" header="0.3" footer="0.3"/>
  <pageSetup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B93"/>
  <sheetViews>
    <sheetView tabSelected="1" topLeftCell="C1" zoomScale="40" zoomScaleNormal="40" zoomScaleSheetLayoutView="40" workbookViewId="0">
      <selection activeCell="C8" sqref="C8:V8"/>
    </sheetView>
  </sheetViews>
  <sheetFormatPr baseColWidth="10" defaultColWidth="11.42578125" defaultRowHeight="28.5" x14ac:dyDescent="0.45"/>
  <cols>
    <col min="1" max="1" width="6.7109375" style="36" bestFit="1" customWidth="1"/>
    <col min="2" max="2" width="117" style="38" bestFit="1" customWidth="1"/>
    <col min="3" max="3" width="56.42578125" style="39" customWidth="1"/>
    <col min="4" max="4" width="96.42578125" style="40" customWidth="1"/>
    <col min="5" max="5" width="65.140625" style="40" customWidth="1"/>
    <col min="6" max="8" width="13.140625" style="39" customWidth="1"/>
    <col min="9" max="10" width="12.28515625" style="39" customWidth="1"/>
    <col min="11" max="12" width="11.85546875" style="39" customWidth="1"/>
    <col min="13" max="18" width="11.85546875" style="38" customWidth="1"/>
    <col min="19" max="19" width="12.42578125" style="38" customWidth="1"/>
    <col min="20" max="22" width="11.85546875" style="38" customWidth="1"/>
    <col min="23" max="23" width="108.7109375" style="38" customWidth="1"/>
    <col min="24" max="24" width="132.7109375" style="38" customWidth="1"/>
    <col min="25" max="25" width="8" style="38" bestFit="1" customWidth="1"/>
    <col min="26" max="87" width="11.42578125" style="38"/>
    <col min="88" max="88" width="10.85546875" style="38" customWidth="1"/>
    <col min="89" max="91" width="11.42578125" style="38"/>
    <col min="92" max="16384" width="11.42578125" style="39"/>
  </cols>
  <sheetData>
    <row r="1" spans="1:106" s="34" customFormat="1" x14ac:dyDescent="0.25">
      <c r="A1" s="694" t="s">
        <v>18</v>
      </c>
      <c r="B1" s="695"/>
      <c r="C1" s="681" t="s">
        <v>621</v>
      </c>
      <c r="D1" s="682"/>
      <c r="E1" s="682"/>
      <c r="F1" s="682"/>
      <c r="G1" s="682"/>
      <c r="H1" s="682"/>
      <c r="I1" s="682"/>
      <c r="J1" s="682"/>
      <c r="K1" s="682"/>
      <c r="L1" s="682"/>
      <c r="M1" s="685">
        <v>263</v>
      </c>
      <c r="N1" s="685"/>
      <c r="O1" s="685"/>
      <c r="P1" s="685"/>
      <c r="Q1" s="685"/>
      <c r="R1" s="685"/>
      <c r="S1" s="685"/>
      <c r="T1" s="685"/>
      <c r="U1" s="685"/>
      <c r="V1" s="686"/>
    </row>
    <row r="2" spans="1:106" s="34" customFormat="1" x14ac:dyDescent="0.25">
      <c r="A2" s="694"/>
      <c r="B2" s="695"/>
      <c r="C2" s="683"/>
      <c r="D2" s="684"/>
      <c r="E2" s="684"/>
      <c r="F2" s="684"/>
      <c r="G2" s="684"/>
      <c r="H2" s="684"/>
      <c r="I2" s="684"/>
      <c r="J2" s="684"/>
      <c r="K2" s="684"/>
      <c r="L2" s="684"/>
      <c r="M2" s="687"/>
      <c r="N2" s="687"/>
      <c r="O2" s="687"/>
      <c r="P2" s="687"/>
      <c r="Q2" s="687"/>
      <c r="R2" s="687"/>
      <c r="S2" s="687"/>
      <c r="T2" s="687"/>
      <c r="U2" s="687"/>
      <c r="V2" s="688"/>
    </row>
    <row r="3" spans="1:106" s="34" customFormat="1" x14ac:dyDescent="0.25">
      <c r="A3" s="694"/>
      <c r="B3" s="695"/>
      <c r="C3" s="683"/>
      <c r="D3" s="684"/>
      <c r="E3" s="684"/>
      <c r="F3" s="684"/>
      <c r="G3" s="684"/>
      <c r="H3" s="684"/>
      <c r="I3" s="684"/>
      <c r="J3" s="684"/>
      <c r="K3" s="684"/>
      <c r="L3" s="684"/>
      <c r="M3" s="687"/>
      <c r="N3" s="687"/>
      <c r="O3" s="687"/>
      <c r="P3" s="687"/>
      <c r="Q3" s="687"/>
      <c r="R3" s="687"/>
      <c r="S3" s="687"/>
      <c r="T3" s="687"/>
      <c r="U3" s="687"/>
      <c r="V3" s="688"/>
    </row>
    <row r="4" spans="1:106" s="34" customFormat="1" ht="57" customHeight="1" x14ac:dyDescent="0.25">
      <c r="A4" s="694"/>
      <c r="B4" s="695"/>
      <c r="C4" s="676" t="s">
        <v>373</v>
      </c>
      <c r="D4" s="676"/>
      <c r="E4" s="676"/>
      <c r="F4" s="676"/>
      <c r="G4" s="676"/>
      <c r="H4" s="676"/>
      <c r="I4" s="676"/>
      <c r="J4" s="676"/>
      <c r="K4" s="676"/>
      <c r="L4" s="676"/>
      <c r="M4" s="676"/>
      <c r="N4" s="676"/>
      <c r="O4" s="676"/>
      <c r="P4" s="676"/>
      <c r="Q4" s="676"/>
      <c r="R4" s="676"/>
      <c r="S4" s="676"/>
      <c r="T4" s="676"/>
      <c r="U4" s="676"/>
      <c r="V4" s="677"/>
    </row>
    <row r="5" spans="1:106" s="34" customFormat="1" ht="28.5" customHeight="1" x14ac:dyDescent="0.25">
      <c r="A5" s="694"/>
      <c r="B5" s="695"/>
      <c r="C5" s="676" t="s">
        <v>374</v>
      </c>
      <c r="D5" s="676"/>
      <c r="E5" s="676"/>
      <c r="F5" s="676"/>
      <c r="G5" s="676"/>
      <c r="H5" s="676"/>
      <c r="I5" s="676"/>
      <c r="J5" s="676"/>
      <c r="K5" s="676"/>
      <c r="L5" s="676"/>
      <c r="M5" s="676"/>
      <c r="N5" s="676"/>
      <c r="O5" s="676"/>
      <c r="P5" s="676"/>
      <c r="Q5" s="676"/>
      <c r="R5" s="676"/>
      <c r="S5" s="676"/>
      <c r="T5" s="676"/>
      <c r="U5" s="676"/>
      <c r="V5" s="677"/>
    </row>
    <row r="6" spans="1:106" s="34" customFormat="1" ht="28.5" customHeight="1" x14ac:dyDescent="0.25">
      <c r="A6" s="696"/>
      <c r="B6" s="697"/>
      <c r="C6" s="676" t="s">
        <v>622</v>
      </c>
      <c r="D6" s="676"/>
      <c r="E6" s="676"/>
      <c r="F6" s="676"/>
      <c r="G6" s="676"/>
      <c r="H6" s="676"/>
      <c r="I6" s="676"/>
      <c r="J6" s="676"/>
      <c r="K6" s="676"/>
      <c r="L6" s="676"/>
      <c r="M6" s="676"/>
      <c r="N6" s="676"/>
      <c r="O6" s="676"/>
      <c r="P6" s="676"/>
      <c r="Q6" s="676"/>
      <c r="R6" s="676"/>
      <c r="S6" s="676"/>
      <c r="T6" s="676"/>
      <c r="U6" s="676"/>
      <c r="V6" s="677"/>
    </row>
    <row r="7" spans="1:106" s="34" customFormat="1" ht="75.75" customHeight="1" x14ac:dyDescent="0.25">
      <c r="A7" s="693" t="s">
        <v>214</v>
      </c>
      <c r="B7" s="693"/>
      <c r="C7" s="675" t="s">
        <v>768</v>
      </c>
      <c r="D7" s="676"/>
      <c r="E7" s="676"/>
      <c r="F7" s="676"/>
      <c r="G7" s="676"/>
      <c r="H7" s="676"/>
      <c r="I7" s="676"/>
      <c r="J7" s="676"/>
      <c r="K7" s="676"/>
      <c r="L7" s="676"/>
      <c r="M7" s="676"/>
      <c r="N7" s="676"/>
      <c r="O7" s="676"/>
      <c r="P7" s="676"/>
      <c r="Q7" s="676"/>
      <c r="R7" s="676"/>
      <c r="S7" s="676"/>
      <c r="T7" s="676"/>
      <c r="U7" s="676"/>
      <c r="V7" s="677"/>
    </row>
    <row r="8" spans="1:106" s="34" customFormat="1" ht="123.75" customHeight="1" thickBot="1" x14ac:dyDescent="0.3">
      <c r="A8" s="702" t="s">
        <v>215</v>
      </c>
      <c r="B8" s="703"/>
      <c r="C8" s="714" t="s">
        <v>671</v>
      </c>
      <c r="D8" s="714"/>
      <c r="E8" s="714"/>
      <c r="F8" s="714"/>
      <c r="G8" s="714"/>
      <c r="H8" s="714"/>
      <c r="I8" s="714"/>
      <c r="J8" s="714"/>
      <c r="K8" s="714"/>
      <c r="L8" s="714"/>
      <c r="M8" s="714"/>
      <c r="N8" s="714"/>
      <c r="O8" s="714"/>
      <c r="P8" s="714"/>
      <c r="Q8" s="714"/>
      <c r="R8" s="714"/>
      <c r="S8" s="714"/>
      <c r="T8" s="714"/>
      <c r="U8" s="714"/>
      <c r="V8" s="715"/>
    </row>
    <row r="9" spans="1:106" s="326" customFormat="1" ht="36" customHeight="1" x14ac:dyDescent="0.25">
      <c r="A9" s="35"/>
      <c r="C9" s="326" t="s">
        <v>769</v>
      </c>
    </row>
    <row r="10" spans="1:106" s="326" customFormat="1" ht="15" customHeight="1" x14ac:dyDescent="0.25">
      <c r="A10" s="35"/>
    </row>
    <row r="11" spans="1:106" s="326" customFormat="1" ht="15" customHeight="1" x14ac:dyDescent="0.25">
      <c r="A11" s="35"/>
    </row>
    <row r="12" spans="1:106" s="326" customFormat="1" ht="15.75" customHeight="1" thickBot="1" x14ac:dyDescent="0.3">
      <c r="A12" s="35"/>
    </row>
    <row r="13" spans="1:106" s="36" customFormat="1" ht="28.5" customHeight="1" x14ac:dyDescent="0.25">
      <c r="A13" s="645" t="s">
        <v>533</v>
      </c>
      <c r="B13" s="655" t="s">
        <v>217</v>
      </c>
      <c r="C13" s="658" t="s">
        <v>208</v>
      </c>
      <c r="D13" s="658" t="s">
        <v>26</v>
      </c>
      <c r="E13" s="667" t="s">
        <v>216</v>
      </c>
      <c r="F13" s="670" t="s">
        <v>27</v>
      </c>
      <c r="G13" s="671"/>
      <c r="H13" s="671"/>
      <c r="I13" s="671"/>
      <c r="J13" s="672"/>
      <c r="K13" s="664" t="s">
        <v>623</v>
      </c>
      <c r="L13" s="665"/>
      <c r="M13" s="665"/>
      <c r="N13" s="665"/>
      <c r="O13" s="665"/>
      <c r="P13" s="665"/>
      <c r="Q13" s="665"/>
      <c r="R13" s="665"/>
      <c r="S13" s="665"/>
      <c r="T13" s="665"/>
      <c r="U13" s="665"/>
      <c r="V13" s="666"/>
      <c r="W13" s="645" t="s">
        <v>741</v>
      </c>
      <c r="X13" s="647" t="s">
        <v>426</v>
      </c>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row>
    <row r="14" spans="1:106" s="36" customFormat="1" x14ac:dyDescent="0.25">
      <c r="A14" s="646"/>
      <c r="B14" s="656"/>
      <c r="C14" s="659"/>
      <c r="D14" s="659"/>
      <c r="E14" s="668"/>
      <c r="F14" s="711" t="s">
        <v>209</v>
      </c>
      <c r="G14" s="650" t="s">
        <v>445</v>
      </c>
      <c r="H14" s="650" t="s">
        <v>211</v>
      </c>
      <c r="I14" s="650" t="s">
        <v>212</v>
      </c>
      <c r="J14" s="678" t="s">
        <v>213</v>
      </c>
      <c r="K14" s="661" t="s">
        <v>210</v>
      </c>
      <c r="L14" s="662"/>
      <c r="M14" s="662"/>
      <c r="N14" s="662"/>
      <c r="O14" s="662"/>
      <c r="P14" s="662"/>
      <c r="Q14" s="662"/>
      <c r="R14" s="662"/>
      <c r="S14" s="662"/>
      <c r="T14" s="662"/>
      <c r="U14" s="662"/>
      <c r="V14" s="663"/>
      <c r="W14" s="646"/>
      <c r="X14" s="648"/>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row>
    <row r="15" spans="1:106" s="36" customFormat="1" x14ac:dyDescent="0.25">
      <c r="A15" s="646"/>
      <c r="B15" s="656"/>
      <c r="C15" s="659"/>
      <c r="D15" s="659"/>
      <c r="E15" s="668"/>
      <c r="F15" s="712"/>
      <c r="G15" s="651"/>
      <c r="H15" s="651"/>
      <c r="I15" s="651"/>
      <c r="J15" s="679"/>
      <c r="K15" s="661"/>
      <c r="L15" s="662"/>
      <c r="M15" s="662"/>
      <c r="N15" s="662"/>
      <c r="O15" s="662"/>
      <c r="P15" s="662"/>
      <c r="Q15" s="662"/>
      <c r="R15" s="662"/>
      <c r="S15" s="662"/>
      <c r="T15" s="662"/>
      <c r="U15" s="662"/>
      <c r="V15" s="663"/>
      <c r="W15" s="646"/>
      <c r="X15" s="648"/>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row>
    <row r="16" spans="1:106" s="36" customFormat="1" x14ac:dyDescent="0.25">
      <c r="A16" s="704"/>
      <c r="B16" s="657"/>
      <c r="C16" s="660"/>
      <c r="D16" s="660"/>
      <c r="E16" s="669"/>
      <c r="F16" s="712"/>
      <c r="G16" s="651"/>
      <c r="H16" s="651"/>
      <c r="I16" s="651"/>
      <c r="J16" s="679"/>
      <c r="K16" s="673" t="s">
        <v>172</v>
      </c>
      <c r="L16" s="653" t="s">
        <v>173</v>
      </c>
      <c r="M16" s="653" t="s">
        <v>174</v>
      </c>
      <c r="N16" s="653" t="s">
        <v>175</v>
      </c>
      <c r="O16" s="653" t="s">
        <v>176</v>
      </c>
      <c r="P16" s="653" t="s">
        <v>177</v>
      </c>
      <c r="Q16" s="653" t="s">
        <v>178</v>
      </c>
      <c r="R16" s="653" t="s">
        <v>179</v>
      </c>
      <c r="S16" s="653" t="s">
        <v>180</v>
      </c>
      <c r="T16" s="653" t="s">
        <v>181</v>
      </c>
      <c r="U16" s="653" t="s">
        <v>182</v>
      </c>
      <c r="V16" s="689" t="s">
        <v>183</v>
      </c>
      <c r="W16" s="646"/>
      <c r="X16" s="648"/>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row>
    <row r="17" spans="1:24" s="41" customFormat="1" ht="29.25" thickBot="1" x14ac:dyDescent="0.3">
      <c r="A17" s="705" t="s">
        <v>218</v>
      </c>
      <c r="B17" s="705"/>
      <c r="C17" s="705"/>
      <c r="D17" s="705"/>
      <c r="E17" s="705"/>
      <c r="F17" s="713"/>
      <c r="G17" s="652"/>
      <c r="H17" s="652"/>
      <c r="I17" s="652"/>
      <c r="J17" s="680"/>
      <c r="K17" s="674"/>
      <c r="L17" s="654"/>
      <c r="M17" s="654"/>
      <c r="N17" s="654"/>
      <c r="O17" s="654"/>
      <c r="P17" s="654"/>
      <c r="Q17" s="654"/>
      <c r="R17" s="654"/>
      <c r="S17" s="654"/>
      <c r="T17" s="654"/>
      <c r="U17" s="654"/>
      <c r="V17" s="690"/>
      <c r="W17" s="646"/>
      <c r="X17" s="649"/>
    </row>
    <row r="18" spans="1:24" s="41" customFormat="1" ht="139.5" x14ac:dyDescent="0.25">
      <c r="A18" s="327">
        <v>1</v>
      </c>
      <c r="B18" s="323" t="s">
        <v>384</v>
      </c>
      <c r="C18" s="291" t="s">
        <v>518</v>
      </c>
      <c r="D18" s="291" t="s">
        <v>405</v>
      </c>
      <c r="E18" s="292" t="s">
        <v>386</v>
      </c>
      <c r="F18" s="293" t="s">
        <v>388</v>
      </c>
      <c r="G18" s="294" t="s">
        <v>388</v>
      </c>
      <c r="H18" s="294" t="s">
        <v>388</v>
      </c>
      <c r="I18" s="294" t="s">
        <v>388</v>
      </c>
      <c r="J18" s="295" t="s">
        <v>388</v>
      </c>
      <c r="K18" s="436"/>
      <c r="L18" s="296"/>
      <c r="M18" s="314"/>
      <c r="N18" s="296"/>
      <c r="O18" s="296"/>
      <c r="P18" s="296"/>
      <c r="Q18" s="296"/>
      <c r="R18" s="296"/>
      <c r="S18" s="296"/>
      <c r="T18" s="296"/>
      <c r="U18" s="296"/>
      <c r="V18" s="297"/>
      <c r="W18" s="466" t="s">
        <v>736</v>
      </c>
      <c r="X18" s="470" t="s">
        <v>734</v>
      </c>
    </row>
    <row r="19" spans="1:24" s="41" customFormat="1" ht="75" customHeight="1" x14ac:dyDescent="0.25">
      <c r="A19" s="327">
        <f>+A18+1</f>
        <v>2</v>
      </c>
      <c r="B19" s="323" t="s">
        <v>385</v>
      </c>
      <c r="C19" s="291" t="s">
        <v>418</v>
      </c>
      <c r="D19" s="291" t="s">
        <v>405</v>
      </c>
      <c r="E19" s="292" t="s">
        <v>672</v>
      </c>
      <c r="F19" s="293" t="s">
        <v>388</v>
      </c>
      <c r="G19" s="294" t="s">
        <v>388</v>
      </c>
      <c r="H19" s="294" t="s">
        <v>388</v>
      </c>
      <c r="I19" s="294" t="s">
        <v>388</v>
      </c>
      <c r="J19" s="295" t="s">
        <v>388</v>
      </c>
      <c r="K19" s="437"/>
      <c r="L19" s="296"/>
      <c r="M19" s="296"/>
      <c r="N19" s="296"/>
      <c r="O19" s="296"/>
      <c r="P19" s="296"/>
      <c r="Q19" s="431"/>
      <c r="R19" s="296"/>
      <c r="S19" s="296"/>
      <c r="T19" s="296"/>
      <c r="U19" s="431"/>
      <c r="V19" s="297"/>
      <c r="W19" s="461" t="s">
        <v>736</v>
      </c>
      <c r="X19" s="471" t="s">
        <v>730</v>
      </c>
    </row>
    <row r="20" spans="1:24" s="41" customFormat="1" ht="76.5" customHeight="1" x14ac:dyDescent="0.25">
      <c r="A20" s="327">
        <f t="shared" ref="A20:A28" si="0">+A19+1</f>
        <v>3</v>
      </c>
      <c r="B20" s="323" t="s">
        <v>673</v>
      </c>
      <c r="C20" s="323" t="s">
        <v>568</v>
      </c>
      <c r="D20" s="323" t="s">
        <v>570</v>
      </c>
      <c r="E20" s="299" t="s">
        <v>697</v>
      </c>
      <c r="F20" s="293" t="s">
        <v>388</v>
      </c>
      <c r="G20" s="294"/>
      <c r="H20" s="294"/>
      <c r="I20" s="294"/>
      <c r="J20" s="295"/>
      <c r="K20" s="298"/>
      <c r="L20" s="296"/>
      <c r="M20" s="296"/>
      <c r="N20" s="296"/>
      <c r="O20" s="296"/>
      <c r="P20" s="296"/>
      <c r="Q20" s="431"/>
      <c r="R20" s="431"/>
      <c r="S20" s="431"/>
      <c r="T20" s="296"/>
      <c r="U20" s="296"/>
      <c r="V20" s="297"/>
      <c r="W20" s="461"/>
      <c r="X20" s="465"/>
    </row>
    <row r="21" spans="1:24" s="41" customFormat="1" ht="167.25" customHeight="1" x14ac:dyDescent="0.25">
      <c r="A21" s="327">
        <f t="shared" si="0"/>
        <v>4</v>
      </c>
      <c r="B21" s="323" t="s">
        <v>629</v>
      </c>
      <c r="C21" s="323" t="s">
        <v>569</v>
      </c>
      <c r="D21" s="323" t="s">
        <v>570</v>
      </c>
      <c r="E21" s="299" t="s">
        <v>698</v>
      </c>
      <c r="F21" s="293" t="s">
        <v>388</v>
      </c>
      <c r="G21" s="294"/>
      <c r="H21" s="294"/>
      <c r="I21" s="294"/>
      <c r="J21" s="295"/>
      <c r="K21" s="298"/>
      <c r="L21" s="296"/>
      <c r="M21" s="440"/>
      <c r="N21" s="431"/>
      <c r="O21" s="431"/>
      <c r="P21" s="296"/>
      <c r="Q21" s="296"/>
      <c r="R21" s="296"/>
      <c r="S21" s="296"/>
      <c r="T21" s="296"/>
      <c r="U21" s="296"/>
      <c r="V21" s="297"/>
      <c r="W21" s="476" t="s">
        <v>742</v>
      </c>
      <c r="X21" s="471" t="s">
        <v>731</v>
      </c>
    </row>
    <row r="22" spans="1:24" s="41" customFormat="1" ht="88.5" customHeight="1" x14ac:dyDescent="0.25">
      <c r="A22" s="327">
        <f t="shared" si="0"/>
        <v>5</v>
      </c>
      <c r="B22" s="323" t="s">
        <v>628</v>
      </c>
      <c r="C22" s="323" t="s">
        <v>569</v>
      </c>
      <c r="D22" s="323" t="s">
        <v>570</v>
      </c>
      <c r="E22" s="299" t="s">
        <v>699</v>
      </c>
      <c r="F22" s="293" t="s">
        <v>388</v>
      </c>
      <c r="G22" s="294"/>
      <c r="H22" s="294"/>
      <c r="I22" s="294"/>
      <c r="J22" s="295"/>
      <c r="K22" s="298"/>
      <c r="L22" s="296"/>
      <c r="M22" s="296"/>
      <c r="N22" s="431"/>
      <c r="O22" s="431"/>
      <c r="P22" s="431"/>
      <c r="Q22" s="296"/>
      <c r="R22" s="296"/>
      <c r="S22" s="296"/>
      <c r="T22" s="296"/>
      <c r="U22" s="296"/>
      <c r="V22" s="297"/>
      <c r="W22" s="461"/>
      <c r="X22" s="465"/>
    </row>
    <row r="23" spans="1:24" s="41" customFormat="1" ht="111.75" customHeight="1" x14ac:dyDescent="0.25">
      <c r="A23" s="327">
        <f t="shared" si="0"/>
        <v>6</v>
      </c>
      <c r="B23" s="291" t="s">
        <v>674</v>
      </c>
      <c r="C23" s="323" t="s">
        <v>569</v>
      </c>
      <c r="D23" s="291" t="s">
        <v>675</v>
      </c>
      <c r="E23" s="299" t="s">
        <v>700</v>
      </c>
      <c r="F23" s="300" t="s">
        <v>388</v>
      </c>
      <c r="G23" s="301"/>
      <c r="H23" s="301"/>
      <c r="I23" s="301"/>
      <c r="J23" s="302"/>
      <c r="K23" s="303"/>
      <c r="L23" s="304"/>
      <c r="M23" s="440"/>
      <c r="N23" s="432"/>
      <c r="O23" s="296"/>
      <c r="P23" s="296"/>
      <c r="Q23" s="296"/>
      <c r="R23" s="296"/>
      <c r="S23" s="296"/>
      <c r="T23" s="296"/>
      <c r="U23" s="296"/>
      <c r="V23" s="297"/>
      <c r="W23" s="476" t="s">
        <v>742</v>
      </c>
      <c r="X23" s="471" t="s">
        <v>746</v>
      </c>
    </row>
    <row r="24" spans="1:24" s="41" customFormat="1" ht="73.5" customHeight="1" x14ac:dyDescent="0.25">
      <c r="A24" s="327">
        <f t="shared" si="0"/>
        <v>7</v>
      </c>
      <c r="B24" s="291" t="s">
        <v>676</v>
      </c>
      <c r="C24" s="323" t="s">
        <v>569</v>
      </c>
      <c r="D24" s="291" t="s">
        <v>677</v>
      </c>
      <c r="E24" s="299" t="s">
        <v>701</v>
      </c>
      <c r="F24" s="300"/>
      <c r="G24" s="301"/>
      <c r="H24" s="301"/>
      <c r="I24" s="301"/>
      <c r="J24" s="302"/>
      <c r="K24" s="303"/>
      <c r="L24" s="304"/>
      <c r="M24" s="304"/>
      <c r="N24" s="304"/>
      <c r="O24" s="431"/>
      <c r="P24" s="296"/>
      <c r="Q24" s="296"/>
      <c r="R24" s="296"/>
      <c r="S24" s="296"/>
      <c r="T24" s="431"/>
      <c r="U24" s="296"/>
      <c r="V24" s="297"/>
      <c r="W24" s="461"/>
      <c r="X24" s="465"/>
    </row>
    <row r="25" spans="1:24" s="41" customFormat="1" ht="93" x14ac:dyDescent="0.25">
      <c r="A25" s="327">
        <f t="shared" si="0"/>
        <v>8</v>
      </c>
      <c r="B25" s="291" t="s">
        <v>633</v>
      </c>
      <c r="C25" s="323" t="s">
        <v>569</v>
      </c>
      <c r="D25" s="308" t="s">
        <v>626</v>
      </c>
      <c r="E25" s="299" t="s">
        <v>702</v>
      </c>
      <c r="F25" s="300"/>
      <c r="G25" s="301"/>
      <c r="H25" s="301"/>
      <c r="I25" s="301"/>
      <c r="J25" s="302"/>
      <c r="K25" s="303"/>
      <c r="L25" s="304"/>
      <c r="M25" s="304"/>
      <c r="N25" s="304"/>
      <c r="O25" s="296"/>
      <c r="P25" s="296"/>
      <c r="Q25" s="431"/>
      <c r="R25" s="431"/>
      <c r="S25" s="431"/>
      <c r="T25" s="296"/>
      <c r="U25" s="296"/>
      <c r="V25" s="297"/>
      <c r="W25" s="461"/>
      <c r="X25" s="465"/>
    </row>
    <row r="26" spans="1:24" s="41" customFormat="1" ht="72" customHeight="1" x14ac:dyDescent="0.25">
      <c r="A26" s="327">
        <f t="shared" si="0"/>
        <v>9</v>
      </c>
      <c r="B26" s="291" t="s">
        <v>630</v>
      </c>
      <c r="C26" s="323" t="s">
        <v>569</v>
      </c>
      <c r="D26" s="323" t="s">
        <v>631</v>
      </c>
      <c r="E26" s="299" t="s">
        <v>703</v>
      </c>
      <c r="F26" s="300"/>
      <c r="G26" s="301"/>
      <c r="H26" s="301"/>
      <c r="I26" s="301"/>
      <c r="J26" s="302"/>
      <c r="K26" s="303"/>
      <c r="L26" s="304"/>
      <c r="M26" s="304"/>
      <c r="N26" s="304"/>
      <c r="O26" s="431"/>
      <c r="P26" s="431"/>
      <c r="Q26" s="431"/>
      <c r="R26" s="296" t="s">
        <v>419</v>
      </c>
      <c r="S26" s="296"/>
      <c r="T26" s="296"/>
      <c r="U26" s="296"/>
      <c r="V26" s="297"/>
      <c r="W26" s="461"/>
      <c r="X26" s="465"/>
    </row>
    <row r="27" spans="1:24" s="41" customFormat="1" ht="72" customHeight="1" x14ac:dyDescent="0.25">
      <c r="A27" s="327">
        <f t="shared" si="0"/>
        <v>10</v>
      </c>
      <c r="B27" s="308" t="s">
        <v>678</v>
      </c>
      <c r="C27" s="323" t="s">
        <v>569</v>
      </c>
      <c r="D27" s="308" t="s">
        <v>632</v>
      </c>
      <c r="E27" s="299" t="s">
        <v>679</v>
      </c>
      <c r="F27" s="300" t="s">
        <v>388</v>
      </c>
      <c r="G27" s="301"/>
      <c r="H27" s="301"/>
      <c r="I27" s="301"/>
      <c r="J27" s="302"/>
      <c r="K27" s="303"/>
      <c r="L27" s="304"/>
      <c r="M27" s="304"/>
      <c r="N27" s="304"/>
      <c r="O27" s="296"/>
      <c r="P27" s="296"/>
      <c r="Q27" s="296"/>
      <c r="R27" s="431"/>
      <c r="S27" s="431"/>
      <c r="T27" s="431"/>
      <c r="U27" s="296"/>
      <c r="V27" s="297"/>
      <c r="W27" s="461"/>
      <c r="X27" s="465"/>
    </row>
    <row r="28" spans="1:24" s="41" customFormat="1" ht="67.5" customHeight="1" x14ac:dyDescent="0.25">
      <c r="A28" s="327">
        <f t="shared" si="0"/>
        <v>11</v>
      </c>
      <c r="B28" s="308" t="s">
        <v>670</v>
      </c>
      <c r="C28" s="323" t="s">
        <v>569</v>
      </c>
      <c r="D28" s="308" t="s">
        <v>632</v>
      </c>
      <c r="E28" s="299" t="s">
        <v>667</v>
      </c>
      <c r="F28" s="300" t="s">
        <v>388</v>
      </c>
      <c r="G28" s="301"/>
      <c r="H28" s="301"/>
      <c r="I28" s="301"/>
      <c r="J28" s="302"/>
      <c r="K28" s="303"/>
      <c r="L28" s="304"/>
      <c r="M28" s="455"/>
      <c r="N28" s="455"/>
      <c r="O28" s="456"/>
      <c r="P28" s="431"/>
      <c r="Q28" s="456"/>
      <c r="R28" s="456"/>
      <c r="S28" s="456"/>
      <c r="T28" s="456"/>
      <c r="U28" s="431"/>
      <c r="V28" s="457"/>
      <c r="W28" s="461"/>
      <c r="X28" s="472" t="s">
        <v>743</v>
      </c>
    </row>
    <row r="29" spans="1:24" s="41" customFormat="1" ht="28.5" customHeight="1" x14ac:dyDescent="0.25">
      <c r="A29" s="706" t="s">
        <v>422</v>
      </c>
      <c r="B29" s="707"/>
      <c r="C29" s="707"/>
      <c r="D29" s="707"/>
      <c r="E29" s="707"/>
      <c r="F29" s="707"/>
      <c r="G29" s="707"/>
      <c r="H29" s="707"/>
      <c r="I29" s="707"/>
      <c r="J29" s="707"/>
      <c r="K29" s="707"/>
      <c r="L29" s="707"/>
      <c r="M29" s="707"/>
      <c r="N29" s="707"/>
      <c r="O29" s="707"/>
      <c r="P29" s="708"/>
      <c r="Q29" s="305"/>
      <c r="R29" s="305"/>
      <c r="S29" s="305"/>
      <c r="T29" s="305"/>
      <c r="U29" s="305"/>
      <c r="V29" s="306"/>
      <c r="W29" s="461"/>
      <c r="X29" s="465"/>
    </row>
    <row r="30" spans="1:24" s="41" customFormat="1" ht="367.5" x14ac:dyDescent="0.25">
      <c r="A30" s="396">
        <f>+A28+1</f>
        <v>12</v>
      </c>
      <c r="B30" s="397" t="s">
        <v>680</v>
      </c>
      <c r="C30" s="397" t="s">
        <v>574</v>
      </c>
      <c r="D30" s="397" t="s">
        <v>681</v>
      </c>
      <c r="E30" s="397" t="s">
        <v>704</v>
      </c>
      <c r="F30" s="425"/>
      <c r="G30" s="426"/>
      <c r="H30" s="426"/>
      <c r="I30" s="426" t="s">
        <v>388</v>
      </c>
      <c r="J30" s="427"/>
      <c r="K30" s="453"/>
      <c r="L30" s="454"/>
      <c r="M30" s="454"/>
      <c r="N30" s="433"/>
      <c r="O30" s="433"/>
      <c r="P30" s="433"/>
      <c r="Q30" s="433"/>
      <c r="R30" s="433"/>
      <c r="S30" s="433"/>
      <c r="T30" s="433"/>
      <c r="U30" s="433"/>
      <c r="V30" s="434"/>
      <c r="W30" s="461"/>
      <c r="X30" s="478" t="s">
        <v>712</v>
      </c>
    </row>
    <row r="31" spans="1:24" s="41" customFormat="1" ht="69.75" x14ac:dyDescent="0.25">
      <c r="A31" s="396">
        <f>+A30+1</f>
        <v>13</v>
      </c>
      <c r="B31" s="403" t="s">
        <v>682</v>
      </c>
      <c r="C31" s="403" t="s">
        <v>574</v>
      </c>
      <c r="D31" s="403" t="s">
        <v>575</v>
      </c>
      <c r="E31" s="403" t="s">
        <v>683</v>
      </c>
      <c r="F31" s="425"/>
      <c r="G31" s="294"/>
      <c r="H31" s="294"/>
      <c r="I31" s="294" t="s">
        <v>388</v>
      </c>
      <c r="J31" s="295"/>
      <c r="K31" s="307"/>
      <c r="L31" s="296"/>
      <c r="M31" s="296"/>
      <c r="N31" s="431"/>
      <c r="O31" s="431"/>
      <c r="P31" s="433"/>
      <c r="Q31" s="398"/>
      <c r="R31" s="398"/>
      <c r="S31" s="398"/>
      <c r="T31" s="398"/>
      <c r="U31" s="398"/>
      <c r="V31" s="297"/>
      <c r="W31" s="461"/>
      <c r="X31" s="465" t="s">
        <v>747</v>
      </c>
    </row>
    <row r="32" spans="1:24" s="41" customFormat="1" ht="28.5" customHeight="1" x14ac:dyDescent="0.25">
      <c r="A32" s="709" t="s">
        <v>219</v>
      </c>
      <c r="B32" s="709"/>
      <c r="C32" s="709"/>
      <c r="D32" s="709"/>
      <c r="E32" s="709"/>
      <c r="F32" s="709"/>
      <c r="G32" s="709"/>
      <c r="H32" s="709"/>
      <c r="I32" s="709"/>
      <c r="J32" s="709"/>
      <c r="K32" s="709"/>
      <c r="L32" s="709"/>
      <c r="M32" s="709"/>
      <c r="N32" s="709"/>
      <c r="O32" s="709"/>
      <c r="P32" s="709"/>
      <c r="Q32" s="709"/>
      <c r="R32" s="709"/>
      <c r="S32" s="709"/>
      <c r="T32" s="709"/>
      <c r="U32" s="709"/>
      <c r="V32" s="710"/>
      <c r="W32" s="461"/>
      <c r="X32" s="465"/>
    </row>
    <row r="33" spans="1:27" s="41" customFormat="1" ht="93" x14ac:dyDescent="0.25">
      <c r="A33" s="458">
        <f>+A31+1</f>
        <v>14</v>
      </c>
      <c r="B33" s="308" t="s">
        <v>534</v>
      </c>
      <c r="C33" s="291" t="s">
        <v>382</v>
      </c>
      <c r="D33" s="402" t="s">
        <v>591</v>
      </c>
      <c r="E33" s="292" t="s">
        <v>399</v>
      </c>
      <c r="F33" s="293"/>
      <c r="G33" s="294" t="s">
        <v>388</v>
      </c>
      <c r="H33" s="294"/>
      <c r="I33" s="294"/>
      <c r="J33" s="295" t="s">
        <v>388</v>
      </c>
      <c r="K33" s="437"/>
      <c r="L33" s="296"/>
      <c r="M33" s="296"/>
      <c r="N33" s="296"/>
      <c r="O33" s="431"/>
      <c r="P33" s="296"/>
      <c r="Q33" s="296"/>
      <c r="R33" s="296"/>
      <c r="S33" s="431"/>
      <c r="T33" s="296"/>
      <c r="U33" s="296"/>
      <c r="V33" s="297"/>
      <c r="W33" s="463" t="s">
        <v>725</v>
      </c>
      <c r="X33" s="471" t="s">
        <v>744</v>
      </c>
    </row>
    <row r="34" spans="1:27" s="41" customFormat="1" ht="186" x14ac:dyDescent="0.25">
      <c r="A34" s="458">
        <f>+A33+1</f>
        <v>15</v>
      </c>
      <c r="B34" s="308" t="s">
        <v>684</v>
      </c>
      <c r="C34" s="403" t="s">
        <v>450</v>
      </c>
      <c r="D34" s="402" t="s">
        <v>591</v>
      </c>
      <c r="E34" s="292" t="s">
        <v>519</v>
      </c>
      <c r="F34" s="293"/>
      <c r="G34" s="294"/>
      <c r="H34" s="294"/>
      <c r="I34" s="294"/>
      <c r="J34" s="295" t="s">
        <v>388</v>
      </c>
      <c r="K34" s="298"/>
      <c r="L34" s="440"/>
      <c r="M34" s="296"/>
      <c r="N34" s="296"/>
      <c r="O34" s="296"/>
      <c r="P34" s="296"/>
      <c r="Q34" s="296"/>
      <c r="R34" s="296"/>
      <c r="S34" s="296"/>
      <c r="T34" s="296"/>
      <c r="U34" s="296"/>
      <c r="V34" s="297"/>
      <c r="W34" s="467" t="s">
        <v>718</v>
      </c>
      <c r="X34" s="473" t="s">
        <v>745</v>
      </c>
    </row>
    <row r="35" spans="1:27" s="41" customFormat="1" ht="116.25" x14ac:dyDescent="0.25">
      <c r="A35" s="458">
        <f t="shared" ref="A35:A64" si="1">+A34+1</f>
        <v>16</v>
      </c>
      <c r="B35" s="308" t="s">
        <v>389</v>
      </c>
      <c r="C35" s="403" t="s">
        <v>510</v>
      </c>
      <c r="D35" s="402" t="s">
        <v>592</v>
      </c>
      <c r="E35" s="292" t="s">
        <v>705</v>
      </c>
      <c r="F35" s="293"/>
      <c r="G35" s="294"/>
      <c r="H35" s="294" t="s">
        <v>388</v>
      </c>
      <c r="I35" s="294"/>
      <c r="J35" s="295" t="s">
        <v>388</v>
      </c>
      <c r="K35" s="437"/>
      <c r="L35" s="440"/>
      <c r="M35" s="296"/>
      <c r="N35" s="431"/>
      <c r="O35" s="431"/>
      <c r="P35" s="296"/>
      <c r="Q35" s="431"/>
      <c r="R35" s="431"/>
      <c r="S35" s="296"/>
      <c r="T35" s="431"/>
      <c r="U35" s="431"/>
      <c r="V35" s="404"/>
      <c r="W35" s="463" t="s">
        <v>715</v>
      </c>
      <c r="X35" s="471" t="s">
        <v>748</v>
      </c>
    </row>
    <row r="36" spans="1:27" s="41" customFormat="1" ht="221.25" customHeight="1" x14ac:dyDescent="0.25">
      <c r="A36" s="458">
        <f t="shared" si="1"/>
        <v>17</v>
      </c>
      <c r="B36" s="308" t="s">
        <v>498</v>
      </c>
      <c r="C36" s="291" t="s">
        <v>499</v>
      </c>
      <c r="D36" s="402" t="s">
        <v>593</v>
      </c>
      <c r="E36" s="292" t="s">
        <v>414</v>
      </c>
      <c r="F36" s="293"/>
      <c r="G36" s="294"/>
      <c r="H36" s="294"/>
      <c r="I36" s="294"/>
      <c r="J36" s="295" t="s">
        <v>388</v>
      </c>
      <c r="K36" s="437"/>
      <c r="L36" s="440"/>
      <c r="M36" s="296"/>
      <c r="N36" s="296"/>
      <c r="O36" s="296"/>
      <c r="P36" s="296"/>
      <c r="Q36" s="296"/>
      <c r="R36" s="296"/>
      <c r="S36" s="296"/>
      <c r="T36" s="296"/>
      <c r="U36" s="296"/>
      <c r="V36" s="297"/>
      <c r="W36" s="463" t="s">
        <v>708</v>
      </c>
      <c r="X36" s="473" t="s">
        <v>745</v>
      </c>
    </row>
    <row r="37" spans="1:27" s="41" customFormat="1" ht="223.5" customHeight="1" x14ac:dyDescent="0.25">
      <c r="A37" s="458">
        <f t="shared" si="1"/>
        <v>18</v>
      </c>
      <c r="B37" s="308" t="s">
        <v>500</v>
      </c>
      <c r="C37" s="291" t="s">
        <v>509</v>
      </c>
      <c r="D37" s="403" t="s">
        <v>594</v>
      </c>
      <c r="E37" s="292" t="s">
        <v>530</v>
      </c>
      <c r="F37" s="293"/>
      <c r="G37" s="294"/>
      <c r="H37" s="294"/>
      <c r="I37" s="294"/>
      <c r="J37" s="295" t="s">
        <v>388</v>
      </c>
      <c r="K37" s="437"/>
      <c r="L37" s="440"/>
      <c r="M37" s="296"/>
      <c r="N37" s="296"/>
      <c r="O37" s="296"/>
      <c r="P37" s="296"/>
      <c r="Q37" s="431"/>
      <c r="R37" s="431"/>
      <c r="S37" s="296"/>
      <c r="T37" s="296"/>
      <c r="U37" s="296"/>
      <c r="V37" s="297"/>
      <c r="W37" s="463" t="s">
        <v>709</v>
      </c>
      <c r="X37" s="471" t="s">
        <v>748</v>
      </c>
    </row>
    <row r="38" spans="1:27" s="41" customFormat="1" ht="139.5" x14ac:dyDescent="0.25">
      <c r="A38" s="458">
        <f t="shared" si="1"/>
        <v>19</v>
      </c>
      <c r="B38" s="308" t="s">
        <v>390</v>
      </c>
      <c r="C38" s="291" t="s">
        <v>520</v>
      </c>
      <c r="D38" s="403" t="s">
        <v>595</v>
      </c>
      <c r="E38" s="474" t="s">
        <v>749</v>
      </c>
      <c r="F38" s="293"/>
      <c r="G38" s="294"/>
      <c r="H38" s="294"/>
      <c r="I38" s="294"/>
      <c r="J38" s="295" t="s">
        <v>388</v>
      </c>
      <c r="K38" s="437"/>
      <c r="L38" s="440"/>
      <c r="M38" s="296"/>
      <c r="N38" s="296"/>
      <c r="O38" s="296"/>
      <c r="P38" s="296"/>
      <c r="Q38" s="431"/>
      <c r="R38" s="431"/>
      <c r="S38" s="296"/>
      <c r="T38" s="296"/>
      <c r="U38" s="296"/>
      <c r="V38" s="297"/>
      <c r="W38" s="463" t="s">
        <v>723</v>
      </c>
      <c r="X38" s="471" t="s">
        <v>748</v>
      </c>
    </row>
    <row r="39" spans="1:27" s="41" customFormat="1" ht="93" x14ac:dyDescent="0.25">
      <c r="A39" s="458">
        <f t="shared" si="1"/>
        <v>20</v>
      </c>
      <c r="B39" s="308" t="s">
        <v>572</v>
      </c>
      <c r="C39" s="291" t="s">
        <v>573</v>
      </c>
      <c r="D39" s="403" t="s">
        <v>596</v>
      </c>
      <c r="E39" s="292" t="s">
        <v>415</v>
      </c>
      <c r="F39" s="293"/>
      <c r="G39" s="294"/>
      <c r="H39" s="294"/>
      <c r="I39" s="294"/>
      <c r="J39" s="295" t="s">
        <v>388</v>
      </c>
      <c r="K39" s="298"/>
      <c r="L39" s="440"/>
      <c r="M39" s="296"/>
      <c r="N39" s="296"/>
      <c r="O39" s="296"/>
      <c r="P39" s="296"/>
      <c r="Q39" s="296"/>
      <c r="R39" s="296"/>
      <c r="S39" s="296"/>
      <c r="T39" s="296"/>
      <c r="U39" s="296"/>
      <c r="V39" s="297"/>
      <c r="W39" s="463" t="s">
        <v>710</v>
      </c>
      <c r="X39" s="473" t="s">
        <v>745</v>
      </c>
    </row>
    <row r="40" spans="1:27" s="41" customFormat="1" ht="69.75" x14ac:dyDescent="0.25">
      <c r="A40" s="458">
        <f t="shared" si="1"/>
        <v>21</v>
      </c>
      <c r="B40" s="308" t="s">
        <v>571</v>
      </c>
      <c r="C40" s="291" t="s">
        <v>511</v>
      </c>
      <c r="D40" s="402" t="s">
        <v>591</v>
      </c>
      <c r="E40" s="292" t="s">
        <v>521</v>
      </c>
      <c r="F40" s="293"/>
      <c r="G40" s="294"/>
      <c r="H40" s="294"/>
      <c r="I40" s="294"/>
      <c r="J40" s="295" t="s">
        <v>388</v>
      </c>
      <c r="K40" s="298"/>
      <c r="L40" s="440"/>
      <c r="M40" s="440"/>
      <c r="N40" s="296"/>
      <c r="O40" s="296"/>
      <c r="P40" s="296"/>
      <c r="Q40" s="431"/>
      <c r="R40" s="431"/>
      <c r="S40" s="296"/>
      <c r="T40" s="296"/>
      <c r="U40" s="296"/>
      <c r="V40" s="297"/>
      <c r="W40" s="463" t="s">
        <v>733</v>
      </c>
      <c r="X40" s="471" t="s">
        <v>750</v>
      </c>
    </row>
    <row r="41" spans="1:27" s="41" customFormat="1" ht="100.5" customHeight="1" x14ac:dyDescent="0.25">
      <c r="A41" s="458">
        <f t="shared" si="1"/>
        <v>22</v>
      </c>
      <c r="B41" s="308" t="s">
        <v>597</v>
      </c>
      <c r="C41" s="291" t="s">
        <v>512</v>
      </c>
      <c r="D41" s="403" t="s">
        <v>598</v>
      </c>
      <c r="E41" s="292" t="s">
        <v>693</v>
      </c>
      <c r="F41" s="293"/>
      <c r="G41" s="294"/>
      <c r="H41" s="294"/>
      <c r="I41" s="294"/>
      <c r="J41" s="295" t="s">
        <v>388</v>
      </c>
      <c r="K41" s="298"/>
      <c r="L41" s="296"/>
      <c r="M41" s="440"/>
      <c r="N41" s="440"/>
      <c r="O41" s="296"/>
      <c r="P41" s="296"/>
      <c r="Q41" s="296"/>
      <c r="R41" s="296"/>
      <c r="S41" s="296"/>
      <c r="T41" s="431"/>
      <c r="U41" s="431"/>
      <c r="V41" s="430"/>
      <c r="W41" s="461"/>
      <c r="X41" s="471" t="s">
        <v>751</v>
      </c>
    </row>
    <row r="42" spans="1:27" s="41" customFormat="1" ht="127.5" customHeight="1" x14ac:dyDescent="0.25">
      <c r="A42" s="458">
        <f t="shared" si="1"/>
        <v>23</v>
      </c>
      <c r="B42" s="308" t="s">
        <v>397</v>
      </c>
      <c r="C42" s="403" t="s">
        <v>522</v>
      </c>
      <c r="D42" s="403" t="s">
        <v>406</v>
      </c>
      <c r="E42" s="292" t="s">
        <v>685</v>
      </c>
      <c r="F42" s="293"/>
      <c r="G42" s="294"/>
      <c r="H42" s="294"/>
      <c r="I42" s="294"/>
      <c r="J42" s="295" t="s">
        <v>388</v>
      </c>
      <c r="K42" s="298"/>
      <c r="L42" s="439"/>
      <c r="M42" s="439"/>
      <c r="N42" s="479"/>
      <c r="O42" s="304"/>
      <c r="P42" s="296"/>
      <c r="Q42" s="431"/>
      <c r="R42" s="431"/>
      <c r="S42" s="296"/>
      <c r="T42" s="296"/>
      <c r="U42" s="431"/>
      <c r="V42" s="430"/>
      <c r="W42" s="461"/>
      <c r="X42" s="471" t="s">
        <v>752</v>
      </c>
    </row>
    <row r="43" spans="1:27" s="41" customFormat="1" ht="46.5" x14ac:dyDescent="0.25">
      <c r="A43" s="458">
        <f t="shared" si="1"/>
        <v>24</v>
      </c>
      <c r="B43" s="308" t="s">
        <v>375</v>
      </c>
      <c r="C43" s="291" t="s">
        <v>513</v>
      </c>
      <c r="D43" s="403" t="s">
        <v>599</v>
      </c>
      <c r="E43" s="405" t="s">
        <v>600</v>
      </c>
      <c r="F43" s="293"/>
      <c r="G43" s="294"/>
      <c r="H43" s="294"/>
      <c r="I43" s="294"/>
      <c r="J43" s="295" t="s">
        <v>388</v>
      </c>
      <c r="K43" s="298"/>
      <c r="L43" s="296"/>
      <c r="M43" s="296"/>
      <c r="N43" s="431"/>
      <c r="O43" s="431"/>
      <c r="P43" s="296"/>
      <c r="Q43" s="296"/>
      <c r="R43" s="296"/>
      <c r="S43" s="431"/>
      <c r="T43" s="431"/>
      <c r="U43" s="296"/>
      <c r="V43" s="297"/>
      <c r="W43" s="461"/>
      <c r="X43" s="465"/>
      <c r="AA43" s="41" t="s">
        <v>419</v>
      </c>
    </row>
    <row r="44" spans="1:27" s="41" customFormat="1" ht="252" customHeight="1" x14ac:dyDescent="0.25">
      <c r="A44" s="458">
        <f t="shared" si="1"/>
        <v>25</v>
      </c>
      <c r="B44" s="406" t="s">
        <v>391</v>
      </c>
      <c r="C44" s="291" t="s">
        <v>601</v>
      </c>
      <c r="D44" s="403" t="s">
        <v>505</v>
      </c>
      <c r="E44" s="292" t="s">
        <v>423</v>
      </c>
      <c r="F44" s="293"/>
      <c r="G44" s="294"/>
      <c r="H44" s="294"/>
      <c r="I44" s="294"/>
      <c r="J44" s="295" t="s">
        <v>388</v>
      </c>
      <c r="K44" s="298"/>
      <c r="L44" s="440"/>
      <c r="M44" s="440"/>
      <c r="N44" s="296"/>
      <c r="O44" s="431"/>
      <c r="P44" s="296"/>
      <c r="Q44" s="296"/>
      <c r="R44" s="296"/>
      <c r="S44" s="296"/>
      <c r="T44" s="296"/>
      <c r="U44" s="296"/>
      <c r="V44" s="297"/>
      <c r="W44" s="461"/>
      <c r="X44" s="471" t="s">
        <v>719</v>
      </c>
    </row>
    <row r="45" spans="1:27" s="41" customFormat="1" ht="46.5" x14ac:dyDescent="0.25">
      <c r="A45" s="458">
        <f t="shared" si="1"/>
        <v>26</v>
      </c>
      <c r="B45" s="308" t="s">
        <v>635</v>
      </c>
      <c r="C45" s="291" t="s">
        <v>514</v>
      </c>
      <c r="D45" s="403" t="s">
        <v>407</v>
      </c>
      <c r="E45" s="292" t="s">
        <v>602</v>
      </c>
      <c r="F45" s="293"/>
      <c r="G45" s="294"/>
      <c r="H45" s="294"/>
      <c r="I45" s="294"/>
      <c r="J45" s="295" t="s">
        <v>388</v>
      </c>
      <c r="K45" s="436"/>
      <c r="L45" s="440"/>
      <c r="M45" s="296"/>
      <c r="N45" s="296"/>
      <c r="O45" s="296"/>
      <c r="P45" s="296"/>
      <c r="Q45" s="296"/>
      <c r="R45" s="296"/>
      <c r="S45" s="296"/>
      <c r="T45" s="296"/>
      <c r="U45" s="431"/>
      <c r="V45" s="297"/>
      <c r="W45" s="463" t="s">
        <v>724</v>
      </c>
      <c r="X45" s="471" t="s">
        <v>750</v>
      </c>
    </row>
    <row r="46" spans="1:27" s="41" customFormat="1" ht="93.75" customHeight="1" x14ac:dyDescent="0.25">
      <c r="A46" s="458">
        <f t="shared" si="1"/>
        <v>27</v>
      </c>
      <c r="B46" s="308" t="s">
        <v>392</v>
      </c>
      <c r="C46" s="291" t="s">
        <v>515</v>
      </c>
      <c r="D46" s="403" t="s">
        <v>408</v>
      </c>
      <c r="E46" s="292" t="s">
        <v>686</v>
      </c>
      <c r="F46" s="293"/>
      <c r="G46" s="294"/>
      <c r="H46" s="294"/>
      <c r="I46" s="294"/>
      <c r="J46" s="295" t="s">
        <v>388</v>
      </c>
      <c r="K46" s="436"/>
      <c r="L46" s="440"/>
      <c r="M46" s="296"/>
      <c r="N46" s="431"/>
      <c r="O46" s="296"/>
      <c r="P46" s="296"/>
      <c r="Q46" s="432"/>
      <c r="R46" s="431"/>
      <c r="S46" s="431"/>
      <c r="T46" s="431"/>
      <c r="U46" s="296"/>
      <c r="V46" s="297"/>
      <c r="W46" s="463" t="s">
        <v>732</v>
      </c>
      <c r="X46" s="471" t="s">
        <v>750</v>
      </c>
    </row>
    <row r="47" spans="1:27" s="41" customFormat="1" ht="156.75" customHeight="1" x14ac:dyDescent="0.25">
      <c r="A47" s="458">
        <f t="shared" si="1"/>
        <v>28</v>
      </c>
      <c r="B47" s="308" t="s">
        <v>393</v>
      </c>
      <c r="C47" s="291" t="s">
        <v>382</v>
      </c>
      <c r="D47" s="402" t="s">
        <v>400</v>
      </c>
      <c r="E47" s="292" t="s">
        <v>603</v>
      </c>
      <c r="F47" s="293"/>
      <c r="G47" s="294"/>
      <c r="H47" s="294"/>
      <c r="I47" s="294"/>
      <c r="J47" s="295" t="s">
        <v>388</v>
      </c>
      <c r="K47" s="436"/>
      <c r="L47" s="440"/>
      <c r="M47" s="296"/>
      <c r="N47" s="296"/>
      <c r="O47" s="431"/>
      <c r="P47" s="296"/>
      <c r="Q47" s="296"/>
      <c r="R47" s="296"/>
      <c r="S47" s="431"/>
      <c r="T47" s="431"/>
      <c r="U47" s="296"/>
      <c r="V47" s="297"/>
      <c r="W47" s="635" t="s">
        <v>726</v>
      </c>
      <c r="X47" s="691" t="s">
        <v>750</v>
      </c>
    </row>
    <row r="48" spans="1:27" s="41" customFormat="1" ht="46.5" x14ac:dyDescent="0.25">
      <c r="A48" s="458">
        <f t="shared" si="1"/>
        <v>29</v>
      </c>
      <c r="B48" s="308" t="s">
        <v>394</v>
      </c>
      <c r="C48" s="291" t="s">
        <v>403</v>
      </c>
      <c r="D48" s="403" t="s">
        <v>405</v>
      </c>
      <c r="E48" s="292" t="s">
        <v>603</v>
      </c>
      <c r="F48" s="293"/>
      <c r="G48" s="294"/>
      <c r="H48" s="294"/>
      <c r="I48" s="294"/>
      <c r="J48" s="295" t="s">
        <v>388</v>
      </c>
      <c r="K48" s="436"/>
      <c r="L48" s="440"/>
      <c r="M48" s="296"/>
      <c r="N48" s="296"/>
      <c r="O48" s="431"/>
      <c r="P48" s="296"/>
      <c r="Q48" s="296"/>
      <c r="R48" s="296"/>
      <c r="S48" s="431"/>
      <c r="T48" s="431"/>
      <c r="U48" s="296"/>
      <c r="V48" s="297"/>
      <c r="W48" s="636"/>
      <c r="X48" s="692"/>
    </row>
    <row r="49" spans="1:24" s="41" customFormat="1" ht="46.5" x14ac:dyDescent="0.25">
      <c r="A49" s="458">
        <f t="shared" si="1"/>
        <v>30</v>
      </c>
      <c r="B49" s="308" t="s">
        <v>529</v>
      </c>
      <c r="C49" s="291" t="s">
        <v>516</v>
      </c>
      <c r="D49" s="403" t="s">
        <v>425</v>
      </c>
      <c r="E49" s="292" t="s">
        <v>627</v>
      </c>
      <c r="F49" s="293"/>
      <c r="G49" s="294"/>
      <c r="H49" s="294"/>
      <c r="I49" s="294"/>
      <c r="J49" s="295" t="s">
        <v>388</v>
      </c>
      <c r="K49" s="298"/>
      <c r="L49" s="296"/>
      <c r="M49" s="455"/>
      <c r="N49" s="455"/>
      <c r="O49" s="431"/>
      <c r="P49" s="431"/>
      <c r="Q49" s="296"/>
      <c r="R49" s="296"/>
      <c r="S49" s="296"/>
      <c r="T49" s="296"/>
      <c r="U49" s="431"/>
      <c r="V49" s="297"/>
      <c r="W49" s="461"/>
      <c r="X49" s="471" t="s">
        <v>753</v>
      </c>
    </row>
    <row r="50" spans="1:24" s="41" customFormat="1" ht="46.5" x14ac:dyDescent="0.25">
      <c r="A50" s="458">
        <f t="shared" si="1"/>
        <v>31</v>
      </c>
      <c r="B50" s="308" t="s">
        <v>376</v>
      </c>
      <c r="C50" s="291" t="s">
        <v>517</v>
      </c>
      <c r="D50" s="403" t="s">
        <v>409</v>
      </c>
      <c r="E50" s="292" t="s">
        <v>423</v>
      </c>
      <c r="F50" s="293"/>
      <c r="G50" s="294"/>
      <c r="H50" s="294"/>
      <c r="I50" s="294"/>
      <c r="J50" s="295" t="s">
        <v>388</v>
      </c>
      <c r="K50" s="298"/>
      <c r="L50" s="296"/>
      <c r="M50" s="296"/>
      <c r="N50" s="296"/>
      <c r="O50" s="296"/>
      <c r="P50" s="296"/>
      <c r="Q50" s="296"/>
      <c r="R50" s="432"/>
      <c r="S50" s="431"/>
      <c r="T50" s="431"/>
      <c r="U50" s="296"/>
      <c r="V50" s="297"/>
      <c r="W50" s="461"/>
      <c r="X50" s="465"/>
    </row>
    <row r="51" spans="1:24" s="41" customFormat="1" ht="46.5" x14ac:dyDescent="0.25">
      <c r="A51" s="458">
        <f t="shared" si="1"/>
        <v>32</v>
      </c>
      <c r="B51" s="459" t="s">
        <v>377</v>
      </c>
      <c r="C51" s="291" t="s">
        <v>410</v>
      </c>
      <c r="D51" s="403" t="s">
        <v>411</v>
      </c>
      <c r="E51" s="292" t="s">
        <v>378</v>
      </c>
      <c r="F51" s="293"/>
      <c r="G51" s="294"/>
      <c r="H51" s="294"/>
      <c r="I51" s="294"/>
      <c r="J51" s="295" t="s">
        <v>388</v>
      </c>
      <c r="K51" s="298"/>
      <c r="L51" s="296"/>
      <c r="M51" s="440"/>
      <c r="N51" s="296"/>
      <c r="O51" s="296"/>
      <c r="P51" s="296"/>
      <c r="Q51" s="296"/>
      <c r="R51" s="296"/>
      <c r="S51" s="296"/>
      <c r="T51" s="431"/>
      <c r="U51" s="296"/>
      <c r="V51" s="297"/>
      <c r="W51" s="463" t="s">
        <v>735</v>
      </c>
      <c r="X51" s="471" t="s">
        <v>754</v>
      </c>
    </row>
    <row r="52" spans="1:24" s="41" customFormat="1" ht="173.25" customHeight="1" x14ac:dyDescent="0.25">
      <c r="A52" s="458">
        <f t="shared" si="1"/>
        <v>33</v>
      </c>
      <c r="B52" s="308" t="s">
        <v>566</v>
      </c>
      <c r="C52" s="403" t="s">
        <v>523</v>
      </c>
      <c r="D52" s="403" t="s">
        <v>604</v>
      </c>
      <c r="E52" s="292" t="s">
        <v>687</v>
      </c>
      <c r="F52" s="293"/>
      <c r="G52" s="294"/>
      <c r="H52" s="294"/>
      <c r="I52" s="294"/>
      <c r="J52" s="295" t="s">
        <v>388</v>
      </c>
      <c r="K52" s="307"/>
      <c r="L52" s="440"/>
      <c r="M52" s="440"/>
      <c r="N52" s="296"/>
      <c r="O52" s="296"/>
      <c r="P52" s="296"/>
      <c r="Q52" s="296"/>
      <c r="R52" s="296"/>
      <c r="S52" s="296"/>
      <c r="T52" s="296"/>
      <c r="U52" s="296"/>
      <c r="V52" s="297"/>
      <c r="W52" s="467" t="s">
        <v>713</v>
      </c>
      <c r="X52" s="473" t="s">
        <v>745</v>
      </c>
    </row>
    <row r="53" spans="1:24" s="41" customFormat="1" ht="175.5" customHeight="1" x14ac:dyDescent="0.25">
      <c r="A53" s="458">
        <f t="shared" si="1"/>
        <v>34</v>
      </c>
      <c r="B53" s="308" t="s">
        <v>755</v>
      </c>
      <c r="C53" s="403" t="s">
        <v>523</v>
      </c>
      <c r="D53" s="403" t="s">
        <v>605</v>
      </c>
      <c r="E53" s="292" t="s">
        <v>706</v>
      </c>
      <c r="F53" s="293"/>
      <c r="G53" s="294"/>
      <c r="H53" s="294"/>
      <c r="I53" s="294"/>
      <c r="J53" s="295"/>
      <c r="K53" s="307"/>
      <c r="L53" s="296"/>
      <c r="M53" s="296"/>
      <c r="N53" s="296"/>
      <c r="O53" s="296"/>
      <c r="P53" s="296"/>
      <c r="Q53" s="296"/>
      <c r="R53" s="296"/>
      <c r="S53" s="296"/>
      <c r="T53" s="431"/>
      <c r="U53" s="431"/>
      <c r="V53" s="297"/>
      <c r="W53" s="461"/>
      <c r="X53" s="465"/>
    </row>
    <row r="54" spans="1:24" s="41" customFormat="1" ht="180.75" customHeight="1" x14ac:dyDescent="0.25">
      <c r="A54" s="458">
        <f t="shared" si="1"/>
        <v>35</v>
      </c>
      <c r="B54" s="308" t="s">
        <v>524</v>
      </c>
      <c r="C54" s="291" t="s">
        <v>606</v>
      </c>
      <c r="D54" s="403" t="s">
        <v>607</v>
      </c>
      <c r="E54" s="292" t="s">
        <v>423</v>
      </c>
      <c r="F54" s="293"/>
      <c r="G54" s="294"/>
      <c r="H54" s="294"/>
      <c r="I54" s="294"/>
      <c r="J54" s="295" t="s">
        <v>388</v>
      </c>
      <c r="K54" s="307"/>
      <c r="L54" s="296"/>
      <c r="M54" s="296"/>
      <c r="N54" s="296"/>
      <c r="O54" s="296"/>
      <c r="P54" s="296"/>
      <c r="Q54" s="296"/>
      <c r="R54" s="432"/>
      <c r="S54" s="431"/>
      <c r="T54" s="431"/>
      <c r="U54" s="296"/>
      <c r="V54" s="297"/>
      <c r="W54" s="461"/>
      <c r="X54" s="465"/>
    </row>
    <row r="55" spans="1:24" s="41" customFormat="1" ht="105.75" customHeight="1" x14ac:dyDescent="0.25">
      <c r="A55" s="458">
        <f t="shared" si="1"/>
        <v>36</v>
      </c>
      <c r="B55" s="308" t="s">
        <v>379</v>
      </c>
      <c r="C55" s="291" t="s">
        <v>412</v>
      </c>
      <c r="D55" s="403" t="s">
        <v>608</v>
      </c>
      <c r="E55" s="292" t="s">
        <v>694</v>
      </c>
      <c r="F55" s="407"/>
      <c r="G55" s="408"/>
      <c r="H55" s="408"/>
      <c r="I55" s="408"/>
      <c r="J55" s="295" t="s">
        <v>388</v>
      </c>
      <c r="K55" s="298"/>
      <c r="L55" s="296"/>
      <c r="M55" s="296"/>
      <c r="N55" s="296"/>
      <c r="O55" s="296"/>
      <c r="P55" s="431"/>
      <c r="Q55" s="431"/>
      <c r="R55" s="296"/>
      <c r="S55" s="296"/>
      <c r="T55" s="296"/>
      <c r="U55" s="431"/>
      <c r="V55" s="430"/>
      <c r="W55" s="461"/>
      <c r="X55" s="465"/>
    </row>
    <row r="56" spans="1:24" s="41" customFormat="1" ht="46.5" x14ac:dyDescent="0.25">
      <c r="A56" s="458">
        <f t="shared" si="1"/>
        <v>37</v>
      </c>
      <c r="B56" s="308" t="s">
        <v>396</v>
      </c>
      <c r="C56" s="291" t="s">
        <v>403</v>
      </c>
      <c r="D56" s="403" t="s">
        <v>405</v>
      </c>
      <c r="E56" s="292" t="s">
        <v>416</v>
      </c>
      <c r="F56" s="407"/>
      <c r="G56" s="408"/>
      <c r="H56" s="408" t="s">
        <v>388</v>
      </c>
      <c r="I56" s="408"/>
      <c r="J56" s="295"/>
      <c r="K56" s="436"/>
      <c r="L56" s="440"/>
      <c r="M56" s="440"/>
      <c r="N56" s="431"/>
      <c r="O56" s="431"/>
      <c r="P56" s="431"/>
      <c r="Q56" s="431"/>
      <c r="R56" s="431"/>
      <c r="S56" s="431"/>
      <c r="T56" s="431"/>
      <c r="U56" s="431"/>
      <c r="V56" s="430"/>
      <c r="W56" s="463" t="s">
        <v>756</v>
      </c>
      <c r="X56" s="471" t="s">
        <v>757</v>
      </c>
    </row>
    <row r="57" spans="1:24" s="41" customFormat="1" ht="69.75" x14ac:dyDescent="0.25">
      <c r="A57" s="458">
        <f t="shared" si="1"/>
        <v>38</v>
      </c>
      <c r="B57" s="308" t="s">
        <v>525</v>
      </c>
      <c r="C57" s="291" t="s">
        <v>507</v>
      </c>
      <c r="D57" s="403" t="s">
        <v>405</v>
      </c>
      <c r="E57" s="292" t="s">
        <v>416</v>
      </c>
      <c r="F57" s="407"/>
      <c r="G57" s="408"/>
      <c r="H57" s="408" t="s">
        <v>388</v>
      </c>
      <c r="I57" s="408"/>
      <c r="J57" s="295"/>
      <c r="K57" s="307"/>
      <c r="L57" s="296"/>
      <c r="M57" s="296"/>
      <c r="N57" s="296"/>
      <c r="O57" s="296"/>
      <c r="P57" s="296"/>
      <c r="Q57" s="296"/>
      <c r="R57" s="296"/>
      <c r="S57" s="296"/>
      <c r="T57" s="296"/>
      <c r="U57" s="431"/>
      <c r="V57" s="297"/>
      <c r="W57" s="461"/>
      <c r="X57" s="465"/>
    </row>
    <row r="58" spans="1:24" s="41" customFormat="1" ht="178.5" customHeight="1" x14ac:dyDescent="0.25">
      <c r="A58" s="458">
        <f t="shared" si="1"/>
        <v>39</v>
      </c>
      <c r="B58" s="308" t="s">
        <v>578</v>
      </c>
      <c r="C58" s="291" t="s">
        <v>501</v>
      </c>
      <c r="D58" s="403" t="s">
        <v>451</v>
      </c>
      <c r="E58" s="291" t="s">
        <v>688</v>
      </c>
      <c r="F58" s="407" t="s">
        <v>388</v>
      </c>
      <c r="G58" s="408"/>
      <c r="H58" s="408"/>
      <c r="I58" s="408"/>
      <c r="J58" s="295"/>
      <c r="K58" s="307"/>
      <c r="L58" s="455"/>
      <c r="M58" s="440"/>
      <c r="N58" s="440"/>
      <c r="O58" s="296"/>
      <c r="P58" s="296"/>
      <c r="Q58" s="296"/>
      <c r="R58" s="296"/>
      <c r="S58" s="431"/>
      <c r="T58" s="296"/>
      <c r="U58" s="296"/>
      <c r="V58" s="297"/>
      <c r="W58" s="461"/>
      <c r="X58" s="471" t="s">
        <v>758</v>
      </c>
    </row>
    <row r="59" spans="1:24" s="41" customFormat="1" ht="148.5" customHeight="1" x14ac:dyDescent="0.25">
      <c r="A59" s="458">
        <f t="shared" si="1"/>
        <v>40</v>
      </c>
      <c r="B59" s="308" t="s">
        <v>427</v>
      </c>
      <c r="C59" s="291" t="s">
        <v>404</v>
      </c>
      <c r="D59" s="403" t="s">
        <v>454</v>
      </c>
      <c r="E59" s="292" t="s">
        <v>609</v>
      </c>
      <c r="F59" s="293" t="s">
        <v>388</v>
      </c>
      <c r="G59" s="294"/>
      <c r="H59" s="294"/>
      <c r="I59" s="294"/>
      <c r="J59" s="295"/>
      <c r="K59" s="475"/>
      <c r="L59" s="296"/>
      <c r="M59" s="296"/>
      <c r="N59" s="438"/>
      <c r="O59" s="296"/>
      <c r="P59" s="296"/>
      <c r="Q59" s="296"/>
      <c r="R59" s="296"/>
      <c r="S59" s="296"/>
      <c r="T59" s="296"/>
      <c r="U59" s="431"/>
      <c r="V59" s="297"/>
      <c r="W59" s="461"/>
      <c r="X59" s="471" t="s">
        <v>720</v>
      </c>
    </row>
    <row r="60" spans="1:24" s="41" customFormat="1" ht="93" x14ac:dyDescent="0.25">
      <c r="A60" s="458">
        <f t="shared" si="1"/>
        <v>41</v>
      </c>
      <c r="B60" s="308" t="s">
        <v>759</v>
      </c>
      <c r="C60" s="291" t="s">
        <v>576</v>
      </c>
      <c r="D60" s="403" t="s">
        <v>577</v>
      </c>
      <c r="E60" s="292" t="s">
        <v>689</v>
      </c>
      <c r="F60" s="293"/>
      <c r="G60" s="294"/>
      <c r="H60" s="294"/>
      <c r="I60" s="294"/>
      <c r="J60" s="295"/>
      <c r="K60" s="452"/>
      <c r="L60" s="440"/>
      <c r="M60" s="296"/>
      <c r="N60" s="296"/>
      <c r="O60" s="296"/>
      <c r="P60" s="296"/>
      <c r="Q60" s="296"/>
      <c r="R60" s="296"/>
      <c r="S60" s="296"/>
      <c r="T60" s="431"/>
      <c r="U60" s="431"/>
      <c r="V60" s="297"/>
      <c r="W60" s="461"/>
      <c r="X60" s="471" t="s">
        <v>727</v>
      </c>
    </row>
    <row r="61" spans="1:24" s="41" customFormat="1" ht="78.75" customHeight="1" x14ac:dyDescent="0.25">
      <c r="A61" s="458">
        <f t="shared" si="1"/>
        <v>42</v>
      </c>
      <c r="B61" s="308" t="s">
        <v>526</v>
      </c>
      <c r="C61" s="291" t="s">
        <v>455</v>
      </c>
      <c r="D61" s="403" t="s">
        <v>527</v>
      </c>
      <c r="E61" s="292" t="s">
        <v>707</v>
      </c>
      <c r="F61" s="293"/>
      <c r="G61" s="294"/>
      <c r="H61" s="294"/>
      <c r="I61" s="294"/>
      <c r="J61" s="295" t="s">
        <v>388</v>
      </c>
      <c r="K61" s="309"/>
      <c r="L61" s="291"/>
      <c r="M61" s="455"/>
      <c r="N61" s="431"/>
      <c r="O61" s="296"/>
      <c r="P61" s="296"/>
      <c r="Q61" s="296"/>
      <c r="R61" s="291"/>
      <c r="S61" s="291"/>
      <c r="T61" s="296"/>
      <c r="U61" s="296"/>
      <c r="V61" s="297"/>
      <c r="W61" s="461"/>
      <c r="X61" s="471" t="s">
        <v>721</v>
      </c>
    </row>
    <row r="62" spans="1:24" s="41" customFormat="1" ht="118.5" customHeight="1" x14ac:dyDescent="0.25">
      <c r="A62" s="458">
        <f t="shared" si="1"/>
        <v>43</v>
      </c>
      <c r="B62" s="308" t="s">
        <v>579</v>
      </c>
      <c r="C62" s="291" t="s">
        <v>610</v>
      </c>
      <c r="D62" s="403" t="s">
        <v>580</v>
      </c>
      <c r="E62" s="292" t="s">
        <v>690</v>
      </c>
      <c r="F62" s="300"/>
      <c r="G62" s="301"/>
      <c r="H62" s="301"/>
      <c r="I62" s="301"/>
      <c r="J62" s="302"/>
      <c r="K62" s="399"/>
      <c r="L62" s="400"/>
      <c r="M62" s="296"/>
      <c r="N62" s="431"/>
      <c r="O62" s="431"/>
      <c r="P62" s="296"/>
      <c r="Q62" s="432"/>
      <c r="R62" s="304"/>
      <c r="S62" s="304"/>
      <c r="T62" s="304"/>
      <c r="U62" s="432"/>
      <c r="V62" s="430"/>
      <c r="W62" s="461"/>
      <c r="X62" s="465"/>
    </row>
    <row r="63" spans="1:24" s="41" customFormat="1" ht="127.5" customHeight="1" x14ac:dyDescent="0.25">
      <c r="A63" s="458">
        <f t="shared" si="1"/>
        <v>44</v>
      </c>
      <c r="B63" s="308" t="s">
        <v>424</v>
      </c>
      <c r="C63" s="291" t="s">
        <v>401</v>
      </c>
      <c r="D63" s="403" t="s">
        <v>402</v>
      </c>
      <c r="E63" s="292" t="s">
        <v>686</v>
      </c>
      <c r="F63" s="293" t="s">
        <v>388</v>
      </c>
      <c r="G63" s="294"/>
      <c r="H63" s="294"/>
      <c r="I63" s="294"/>
      <c r="J63" s="295" t="s">
        <v>388</v>
      </c>
      <c r="K63" s="452"/>
      <c r="L63" s="440"/>
      <c r="M63" s="440"/>
      <c r="N63" s="431"/>
      <c r="O63" s="431"/>
      <c r="P63" s="431"/>
      <c r="Q63" s="431"/>
      <c r="R63" s="431"/>
      <c r="S63" s="431"/>
      <c r="T63" s="431"/>
      <c r="U63" s="431"/>
      <c r="V63" s="430"/>
      <c r="W63" s="468" t="s">
        <v>716</v>
      </c>
      <c r="X63" s="471" t="s">
        <v>754</v>
      </c>
    </row>
    <row r="64" spans="1:24" s="41" customFormat="1" ht="139.5" x14ac:dyDescent="0.25">
      <c r="A64" s="458">
        <f t="shared" si="1"/>
        <v>45</v>
      </c>
      <c r="B64" s="308" t="s">
        <v>503</v>
      </c>
      <c r="C64" s="291" t="s">
        <v>504</v>
      </c>
      <c r="D64" s="403" t="s">
        <v>611</v>
      </c>
      <c r="E64" s="292" t="s">
        <v>399</v>
      </c>
      <c r="F64" s="293" t="s">
        <v>388</v>
      </c>
      <c r="G64" s="294" t="s">
        <v>388</v>
      </c>
      <c r="H64" s="294" t="s">
        <v>388</v>
      </c>
      <c r="I64" s="294"/>
      <c r="J64" s="317"/>
      <c r="K64" s="436"/>
      <c r="L64" s="296"/>
      <c r="M64" s="296"/>
      <c r="N64" s="431"/>
      <c r="O64" s="296"/>
      <c r="P64" s="296"/>
      <c r="Q64" s="431"/>
      <c r="R64" s="296"/>
      <c r="S64" s="296"/>
      <c r="T64" s="431"/>
      <c r="U64" s="296"/>
      <c r="V64" s="297"/>
      <c r="W64" s="463" t="s">
        <v>728</v>
      </c>
      <c r="X64" s="471" t="s">
        <v>760</v>
      </c>
    </row>
    <row r="65" spans="1:24" s="41" customFormat="1" ht="69.75" x14ac:dyDescent="0.25">
      <c r="A65" s="458">
        <f>+A64+1</f>
        <v>46</v>
      </c>
      <c r="B65" s="308" t="s">
        <v>612</v>
      </c>
      <c r="C65" s="291" t="s">
        <v>613</v>
      </c>
      <c r="D65" s="403" t="s">
        <v>614</v>
      </c>
      <c r="E65" s="292" t="s">
        <v>691</v>
      </c>
      <c r="F65" s="293"/>
      <c r="G65" s="294"/>
      <c r="H65" s="294"/>
      <c r="I65" s="294"/>
      <c r="J65" s="317"/>
      <c r="K65" s="298"/>
      <c r="L65" s="296"/>
      <c r="M65" s="296"/>
      <c r="N65" s="296"/>
      <c r="O65" s="296"/>
      <c r="P65" s="296"/>
      <c r="Q65" s="296"/>
      <c r="R65" s="296"/>
      <c r="S65" s="296"/>
      <c r="T65" s="432"/>
      <c r="U65" s="432"/>
      <c r="V65" s="430"/>
      <c r="W65" s="461"/>
      <c r="X65" s="465"/>
    </row>
    <row r="66" spans="1:24" s="41" customFormat="1" ht="28.5" customHeight="1" x14ac:dyDescent="0.25">
      <c r="A66" s="698" t="s">
        <v>615</v>
      </c>
      <c r="B66" s="698"/>
      <c r="C66" s="698"/>
      <c r="D66" s="698"/>
      <c r="E66" s="698"/>
      <c r="F66" s="698"/>
      <c r="G66" s="698"/>
      <c r="H66" s="698"/>
      <c r="I66" s="698"/>
      <c r="J66" s="698"/>
      <c r="K66" s="698"/>
      <c r="L66" s="698"/>
      <c r="M66" s="698"/>
      <c r="N66" s="698"/>
      <c r="O66" s="698"/>
      <c r="P66" s="698"/>
      <c r="Q66" s="698"/>
      <c r="R66" s="698"/>
      <c r="S66" s="698"/>
      <c r="T66" s="698"/>
      <c r="U66" s="698"/>
      <c r="V66" s="699"/>
      <c r="W66" s="462"/>
      <c r="X66" s="465"/>
    </row>
    <row r="67" spans="1:24" s="41" customFormat="1" ht="66" customHeight="1" x14ac:dyDescent="0.25">
      <c r="A67" s="327">
        <f>+A65+1</f>
        <v>47</v>
      </c>
      <c r="B67" s="323" t="s">
        <v>387</v>
      </c>
      <c r="C67" s="291" t="s">
        <v>403</v>
      </c>
      <c r="D67" s="291" t="s">
        <v>405</v>
      </c>
      <c r="E67" s="292" t="s">
        <v>695</v>
      </c>
      <c r="F67" s="310"/>
      <c r="G67" s="311"/>
      <c r="H67" s="311"/>
      <c r="I67" s="311" t="s">
        <v>388</v>
      </c>
      <c r="J67" s="295"/>
      <c r="K67" s="436"/>
      <c r="L67" s="440"/>
      <c r="M67" s="440"/>
      <c r="N67" s="431"/>
      <c r="O67" s="431"/>
      <c r="P67" s="431"/>
      <c r="Q67" s="431"/>
      <c r="R67" s="431"/>
      <c r="S67" s="431"/>
      <c r="T67" s="431"/>
      <c r="U67" s="431"/>
      <c r="V67" s="430"/>
      <c r="W67" s="463" t="s">
        <v>756</v>
      </c>
      <c r="X67" s="471" t="s">
        <v>757</v>
      </c>
    </row>
    <row r="68" spans="1:24" s="41" customFormat="1" ht="408.75" customHeight="1" x14ac:dyDescent="0.25">
      <c r="A68" s="327">
        <f>+A67+1</f>
        <v>48</v>
      </c>
      <c r="B68" s="328" t="s">
        <v>456</v>
      </c>
      <c r="C68" s="291" t="s">
        <v>403</v>
      </c>
      <c r="D68" s="291" t="s">
        <v>405</v>
      </c>
      <c r="E68" s="292" t="s">
        <v>696</v>
      </c>
      <c r="F68" s="312"/>
      <c r="G68" s="313"/>
      <c r="H68" s="313"/>
      <c r="I68" s="313" t="s">
        <v>388</v>
      </c>
      <c r="J68" s="295"/>
      <c r="K68" s="436"/>
      <c r="L68" s="440"/>
      <c r="M68" s="440"/>
      <c r="N68" s="431"/>
      <c r="O68" s="431"/>
      <c r="P68" s="431"/>
      <c r="Q68" s="431"/>
      <c r="R68" s="431"/>
      <c r="S68" s="431"/>
      <c r="T68" s="431"/>
      <c r="U68" s="431"/>
      <c r="V68" s="430"/>
      <c r="W68" s="465" t="s">
        <v>737</v>
      </c>
      <c r="X68" s="471" t="s">
        <v>738</v>
      </c>
    </row>
    <row r="69" spans="1:24" s="41" customFormat="1" ht="192.75" customHeight="1" x14ac:dyDescent="0.25">
      <c r="A69" s="327">
        <f t="shared" ref="A69" si="2">+A68+1</f>
        <v>49</v>
      </c>
      <c r="B69" s="323" t="s">
        <v>457</v>
      </c>
      <c r="C69" s="291" t="s">
        <v>404</v>
      </c>
      <c r="D69" s="291" t="s">
        <v>405</v>
      </c>
      <c r="E69" s="292" t="s">
        <v>692</v>
      </c>
      <c r="F69" s="293"/>
      <c r="G69" s="294"/>
      <c r="H69" s="294" t="s">
        <v>388</v>
      </c>
      <c r="I69" s="294"/>
      <c r="J69" s="295"/>
      <c r="K69" s="298"/>
      <c r="L69" s="296"/>
      <c r="M69" s="440"/>
      <c r="N69" s="431"/>
      <c r="O69" s="296"/>
      <c r="P69" s="431"/>
      <c r="Q69" s="296"/>
      <c r="R69" s="291"/>
      <c r="S69" s="431"/>
      <c r="T69" s="431"/>
      <c r="U69" s="431"/>
      <c r="V69" s="430"/>
      <c r="W69" s="461"/>
      <c r="X69" s="478" t="s">
        <v>714</v>
      </c>
    </row>
    <row r="70" spans="1:24" s="41" customFormat="1" ht="29.25" thickBot="1" x14ac:dyDescent="0.3">
      <c r="A70" s="700" t="s">
        <v>220</v>
      </c>
      <c r="B70" s="700"/>
      <c r="C70" s="700"/>
      <c r="D70" s="700"/>
      <c r="E70" s="700"/>
      <c r="F70" s="700"/>
      <c r="G70" s="700"/>
      <c r="H70" s="700"/>
      <c r="I70" s="700"/>
      <c r="J70" s="700"/>
      <c r="K70" s="700"/>
      <c r="L70" s="700"/>
      <c r="M70" s="700"/>
      <c r="N70" s="700"/>
      <c r="O70" s="700"/>
      <c r="P70" s="700"/>
      <c r="Q70" s="700"/>
      <c r="R70" s="700"/>
      <c r="S70" s="700"/>
      <c r="T70" s="700"/>
      <c r="U70" s="700"/>
      <c r="V70" s="701"/>
      <c r="W70" s="461"/>
      <c r="X70" s="465"/>
    </row>
    <row r="71" spans="1:24" s="41" customFormat="1" ht="110.25" customHeight="1" x14ac:dyDescent="0.25">
      <c r="A71" s="327">
        <f>+A69+1</f>
        <v>50</v>
      </c>
      <c r="B71" s="308" t="s">
        <v>616</v>
      </c>
      <c r="C71" s="315" t="s">
        <v>492</v>
      </c>
      <c r="D71" s="315" t="s">
        <v>493</v>
      </c>
      <c r="E71" s="316" t="s">
        <v>531</v>
      </c>
      <c r="F71" s="300"/>
      <c r="G71" s="301"/>
      <c r="H71" s="301"/>
      <c r="I71" s="301"/>
      <c r="J71" s="302" t="s">
        <v>388</v>
      </c>
      <c r="K71" s="414"/>
      <c r="L71" s="415"/>
      <c r="M71" s="415"/>
      <c r="N71" s="415"/>
      <c r="O71" s="435"/>
      <c r="P71" s="435"/>
      <c r="Q71" s="435"/>
      <c r="R71" s="435"/>
      <c r="S71" s="435"/>
      <c r="T71" s="435"/>
      <c r="U71" s="415"/>
      <c r="V71" s="416"/>
      <c r="W71" s="461"/>
      <c r="X71" s="465"/>
    </row>
    <row r="72" spans="1:24" s="41" customFormat="1" ht="110.25" customHeight="1" x14ac:dyDescent="0.25">
      <c r="A72" s="327">
        <f>+A71+1</f>
        <v>51</v>
      </c>
      <c r="B72" s="308" t="s">
        <v>634</v>
      </c>
      <c r="C72" s="315" t="s">
        <v>492</v>
      </c>
      <c r="D72" s="315" t="s">
        <v>493</v>
      </c>
      <c r="E72" s="316" t="s">
        <v>531</v>
      </c>
      <c r="F72" s="300"/>
      <c r="G72" s="301"/>
      <c r="H72" s="301"/>
      <c r="I72" s="301"/>
      <c r="J72" s="302" t="s">
        <v>388</v>
      </c>
      <c r="K72" s="444"/>
      <c r="L72" s="445"/>
      <c r="M72" s="440"/>
      <c r="N72" s="446"/>
      <c r="O72" s="314"/>
      <c r="P72" s="314"/>
      <c r="Q72" s="314"/>
      <c r="R72" s="314"/>
      <c r="S72" s="314"/>
      <c r="T72" s="314"/>
      <c r="U72" s="314"/>
      <c r="V72" s="297"/>
      <c r="W72" s="461"/>
      <c r="X72" s="471" t="s">
        <v>761</v>
      </c>
    </row>
    <row r="73" spans="1:24" s="41" customFormat="1" ht="123.75" customHeight="1" x14ac:dyDescent="0.25">
      <c r="A73" s="327">
        <f t="shared" ref="A73:A79" si="3">+A72+1</f>
        <v>52</v>
      </c>
      <c r="B73" s="308" t="s">
        <v>617</v>
      </c>
      <c r="C73" s="315" t="s">
        <v>492</v>
      </c>
      <c r="D73" s="315" t="s">
        <v>493</v>
      </c>
      <c r="E73" s="316" t="s">
        <v>494</v>
      </c>
      <c r="F73" s="300"/>
      <c r="G73" s="301"/>
      <c r="H73" s="301"/>
      <c r="I73" s="301"/>
      <c r="J73" s="302" t="s">
        <v>388</v>
      </c>
      <c r="K73" s="450"/>
      <c r="L73" s="449"/>
      <c r="M73" s="449"/>
      <c r="N73" s="449"/>
      <c r="O73" s="443"/>
      <c r="P73" s="429"/>
      <c r="Q73" s="429"/>
      <c r="R73" s="429"/>
      <c r="S73" s="429"/>
      <c r="T73" s="429"/>
      <c r="U73" s="314"/>
      <c r="V73" s="297"/>
      <c r="W73" s="461"/>
      <c r="X73" s="471" t="s">
        <v>762</v>
      </c>
    </row>
    <row r="74" spans="1:24" s="41" customFormat="1" ht="121.5" customHeight="1" x14ac:dyDescent="0.25">
      <c r="A74" s="327">
        <f t="shared" si="3"/>
        <v>53</v>
      </c>
      <c r="B74" s="308" t="s">
        <v>495</v>
      </c>
      <c r="C74" s="315" t="s">
        <v>492</v>
      </c>
      <c r="D74" s="315" t="s">
        <v>493</v>
      </c>
      <c r="E74" s="316" t="s">
        <v>531</v>
      </c>
      <c r="F74" s="300"/>
      <c r="G74" s="301"/>
      <c r="H74" s="301"/>
      <c r="I74" s="301"/>
      <c r="J74" s="302" t="s">
        <v>388</v>
      </c>
      <c r="K74" s="444"/>
      <c r="L74" s="447"/>
      <c r="M74" s="440"/>
      <c r="N74" s="448"/>
      <c r="O74" s="429"/>
      <c r="P74" s="429"/>
      <c r="Q74" s="429"/>
      <c r="R74" s="429"/>
      <c r="S74" s="429"/>
      <c r="T74" s="429"/>
      <c r="U74" s="429"/>
      <c r="V74" s="430"/>
      <c r="W74" s="461"/>
      <c r="X74" s="471" t="s">
        <v>763</v>
      </c>
    </row>
    <row r="75" spans="1:24" s="41" customFormat="1" ht="114.75" customHeight="1" x14ac:dyDescent="0.25">
      <c r="A75" s="327">
        <f>+A74+1</f>
        <v>54</v>
      </c>
      <c r="B75" s="323" t="s">
        <v>395</v>
      </c>
      <c r="C75" s="291" t="s">
        <v>452</v>
      </c>
      <c r="D75" s="291" t="s">
        <v>453</v>
      </c>
      <c r="E75" s="292" t="s">
        <v>423</v>
      </c>
      <c r="F75" s="293"/>
      <c r="G75" s="294"/>
      <c r="H75" s="294" t="s">
        <v>388</v>
      </c>
      <c r="I75" s="294"/>
      <c r="J75" s="295" t="s">
        <v>388</v>
      </c>
      <c r="K75" s="441"/>
      <c r="L75" s="296"/>
      <c r="M75" s="296"/>
      <c r="N75" s="431"/>
      <c r="O75" s="296"/>
      <c r="P75" s="296"/>
      <c r="Q75" s="431"/>
      <c r="R75" s="296"/>
      <c r="S75" s="296"/>
      <c r="T75" s="431"/>
      <c r="U75" s="296"/>
      <c r="V75" s="297"/>
      <c r="W75" s="463" t="s">
        <v>739</v>
      </c>
      <c r="X75" s="471" t="s">
        <v>722</v>
      </c>
    </row>
    <row r="76" spans="1:24" s="41" customFormat="1" ht="102" customHeight="1" x14ac:dyDescent="0.25">
      <c r="A76" s="327">
        <f t="shared" si="3"/>
        <v>55</v>
      </c>
      <c r="B76" s="328" t="s">
        <v>420</v>
      </c>
      <c r="C76" s="291" t="s">
        <v>403</v>
      </c>
      <c r="D76" s="291" t="s">
        <v>405</v>
      </c>
      <c r="E76" s="292" t="s">
        <v>381</v>
      </c>
      <c r="F76" s="312"/>
      <c r="G76" s="313"/>
      <c r="H76" s="313"/>
      <c r="I76" s="313"/>
      <c r="J76" s="295" t="s">
        <v>388</v>
      </c>
      <c r="K76" s="441"/>
      <c r="L76" s="442"/>
      <c r="M76" s="442"/>
      <c r="N76" s="429"/>
      <c r="O76" s="429"/>
      <c r="P76" s="429"/>
      <c r="Q76" s="429"/>
      <c r="R76" s="429"/>
      <c r="S76" s="429"/>
      <c r="T76" s="429"/>
      <c r="U76" s="429"/>
      <c r="V76" s="430"/>
      <c r="W76" s="461"/>
      <c r="X76" s="471" t="s">
        <v>729</v>
      </c>
    </row>
    <row r="77" spans="1:24" s="41" customFormat="1" ht="116.25" x14ac:dyDescent="0.25">
      <c r="A77" s="327">
        <f t="shared" si="3"/>
        <v>56</v>
      </c>
      <c r="B77" s="328" t="s">
        <v>380</v>
      </c>
      <c r="C77" s="291" t="s">
        <v>618</v>
      </c>
      <c r="D77" s="291" t="s">
        <v>413</v>
      </c>
      <c r="E77" s="292" t="s">
        <v>378</v>
      </c>
      <c r="F77" s="312"/>
      <c r="G77" s="313"/>
      <c r="H77" s="313"/>
      <c r="I77" s="313"/>
      <c r="J77" s="295" t="s">
        <v>388</v>
      </c>
      <c r="K77" s="441"/>
      <c r="L77" s="442"/>
      <c r="M77" s="442"/>
      <c r="N77" s="440"/>
      <c r="O77" s="429"/>
      <c r="P77" s="429"/>
      <c r="Q77" s="429"/>
      <c r="R77" s="429"/>
      <c r="S77" s="429"/>
      <c r="T77" s="429"/>
      <c r="U77" s="429"/>
      <c r="V77" s="430"/>
      <c r="W77" s="463" t="s">
        <v>717</v>
      </c>
      <c r="X77" s="471" t="s">
        <v>764</v>
      </c>
    </row>
    <row r="78" spans="1:24" s="41" customFormat="1" ht="114" customHeight="1" x14ac:dyDescent="0.25">
      <c r="A78" s="327">
        <f t="shared" si="3"/>
        <v>57</v>
      </c>
      <c r="B78" s="328" t="s">
        <v>421</v>
      </c>
      <c r="C78" s="291" t="s">
        <v>618</v>
      </c>
      <c r="D78" s="291" t="s">
        <v>413</v>
      </c>
      <c r="E78" s="292" t="s">
        <v>378</v>
      </c>
      <c r="F78" s="312"/>
      <c r="G78" s="313"/>
      <c r="H78" s="313"/>
      <c r="I78" s="313"/>
      <c r="J78" s="295" t="s">
        <v>388</v>
      </c>
      <c r="K78" s="441"/>
      <c r="L78" s="442"/>
      <c r="M78" s="296"/>
      <c r="N78" s="296"/>
      <c r="O78" s="296"/>
      <c r="P78" s="296"/>
      <c r="Q78" s="296"/>
      <c r="R78" s="296"/>
      <c r="S78" s="296"/>
      <c r="T78" s="296"/>
      <c r="U78" s="296"/>
      <c r="V78" s="297"/>
      <c r="W78" s="463" t="s">
        <v>711</v>
      </c>
      <c r="X78" s="463" t="s">
        <v>765</v>
      </c>
    </row>
    <row r="79" spans="1:24" s="41" customFormat="1" ht="69.75" customHeight="1" thickBot="1" x14ac:dyDescent="0.3">
      <c r="A79" s="327">
        <f t="shared" si="3"/>
        <v>58</v>
      </c>
      <c r="B79" s="323" t="s">
        <v>398</v>
      </c>
      <c r="C79" s="291" t="s">
        <v>403</v>
      </c>
      <c r="D79" s="291" t="s">
        <v>405</v>
      </c>
      <c r="E79" s="318" t="s">
        <v>383</v>
      </c>
      <c r="F79" s="319" t="s">
        <v>388</v>
      </c>
      <c r="G79" s="320" t="s">
        <v>388</v>
      </c>
      <c r="H79" s="320"/>
      <c r="I79" s="320"/>
      <c r="J79" s="321" t="s">
        <v>388</v>
      </c>
      <c r="K79" s="441"/>
      <c r="L79" s="442"/>
      <c r="M79" s="440"/>
      <c r="N79" s="431"/>
      <c r="O79" s="431"/>
      <c r="P79" s="431"/>
      <c r="Q79" s="431"/>
      <c r="R79" s="431"/>
      <c r="S79" s="431"/>
      <c r="T79" s="431"/>
      <c r="U79" s="431"/>
      <c r="V79" s="430"/>
      <c r="W79" s="469" t="s">
        <v>740</v>
      </c>
      <c r="X79" s="477" t="s">
        <v>766</v>
      </c>
    </row>
    <row r="80" spans="1:24" s="41" customFormat="1" ht="29.25" hidden="1" customHeight="1" thickBot="1" x14ac:dyDescent="0.3">
      <c r="A80" s="641" t="s">
        <v>447</v>
      </c>
      <c r="B80" s="642"/>
      <c r="C80" s="642"/>
      <c r="D80" s="642"/>
      <c r="E80" s="642"/>
      <c r="F80" s="642"/>
      <c r="G80" s="642"/>
      <c r="H80" s="642"/>
      <c r="I80" s="642"/>
      <c r="J80" s="642"/>
      <c r="K80" s="642"/>
      <c r="L80" s="642"/>
      <c r="M80" s="642"/>
      <c r="N80" s="642"/>
      <c r="O80" s="642"/>
      <c r="P80" s="642"/>
      <c r="Q80" s="642"/>
      <c r="R80" s="642"/>
      <c r="S80" s="642"/>
      <c r="T80" s="642"/>
      <c r="U80" s="642"/>
      <c r="V80" s="643"/>
      <c r="W80" s="460"/>
      <c r="X80" s="464"/>
    </row>
    <row r="81" spans="1:24" s="41" customFormat="1" ht="140.25" hidden="1" thickBot="1" x14ac:dyDescent="0.3">
      <c r="A81" s="386">
        <v>53</v>
      </c>
      <c r="B81" s="387" t="s">
        <v>567</v>
      </c>
      <c r="C81" s="388" t="s">
        <v>448</v>
      </c>
      <c r="D81" s="388" t="s">
        <v>528</v>
      </c>
      <c r="E81" s="389" t="s">
        <v>449</v>
      </c>
      <c r="F81" s="390" t="s">
        <v>388</v>
      </c>
      <c r="G81" s="391" t="s">
        <v>388</v>
      </c>
      <c r="H81" s="391" t="s">
        <v>388</v>
      </c>
      <c r="I81" s="391" t="s">
        <v>388</v>
      </c>
      <c r="J81" s="392"/>
      <c r="K81" s="393"/>
      <c r="L81" s="394"/>
      <c r="M81" s="394"/>
      <c r="N81" s="394"/>
      <c r="O81" s="394"/>
      <c r="P81" s="394"/>
      <c r="Q81" s="394"/>
      <c r="R81" s="394"/>
      <c r="S81" s="394"/>
      <c r="T81" s="394"/>
      <c r="U81" s="395"/>
      <c r="V81" s="395"/>
      <c r="W81" s="331"/>
      <c r="X81" s="464"/>
    </row>
    <row r="82" spans="1:24" s="41" customFormat="1" ht="24.75" customHeight="1" x14ac:dyDescent="0.25">
      <c r="A82" s="637"/>
      <c r="B82" s="638"/>
      <c r="C82" s="638"/>
      <c r="D82" s="638"/>
      <c r="E82" s="638"/>
      <c r="F82" s="638"/>
      <c r="G82" s="638"/>
      <c r="H82" s="638"/>
      <c r="I82" s="638"/>
      <c r="J82" s="638"/>
      <c r="K82" s="639"/>
      <c r="L82" s="639"/>
      <c r="M82" s="639"/>
      <c r="N82" s="639"/>
      <c r="O82" s="639"/>
      <c r="P82" s="639"/>
      <c r="Q82" s="639"/>
      <c r="R82" s="639"/>
      <c r="S82" s="639"/>
      <c r="T82" s="639"/>
      <c r="U82" s="638"/>
      <c r="V82" s="640"/>
      <c r="W82" s="296"/>
      <c r="X82" s="330"/>
    </row>
    <row r="83" spans="1:24" s="41" customFormat="1" ht="29.25" thickBot="1" x14ac:dyDescent="0.3">
      <c r="A83" s="36"/>
      <c r="B83" s="286" t="s">
        <v>502</v>
      </c>
      <c r="C83" s="40"/>
      <c r="D83" s="40"/>
      <c r="E83" s="40"/>
      <c r="F83" s="284"/>
      <c r="G83" s="284"/>
      <c r="H83" s="284"/>
      <c r="I83" s="284"/>
      <c r="J83" s="36"/>
      <c r="K83" s="36"/>
      <c r="L83" s="36"/>
      <c r="M83" s="36"/>
      <c r="N83" s="36"/>
      <c r="O83" s="36"/>
      <c r="P83" s="36"/>
      <c r="Q83" s="36"/>
      <c r="R83" s="36"/>
      <c r="S83" s="36"/>
      <c r="T83" s="36"/>
      <c r="U83" s="36"/>
      <c r="V83" s="36"/>
      <c r="X83" s="285"/>
    </row>
    <row r="84" spans="1:24" s="41" customFormat="1" ht="29.25" thickBot="1" x14ac:dyDescent="0.3">
      <c r="A84" s="36"/>
      <c r="B84" s="451"/>
      <c r="C84" s="288" t="s">
        <v>535</v>
      </c>
      <c r="D84" s="40"/>
      <c r="E84" s="40"/>
      <c r="F84" s="284"/>
      <c r="G84" s="284"/>
      <c r="H84" s="284"/>
      <c r="I84" s="284"/>
      <c r="J84" s="36"/>
      <c r="K84" s="36"/>
      <c r="L84" s="36"/>
      <c r="M84" s="36"/>
      <c r="N84" s="36"/>
      <c r="O84" s="36"/>
      <c r="P84" s="36"/>
      <c r="Q84" s="36"/>
      <c r="R84" s="36"/>
      <c r="S84" s="36"/>
      <c r="T84" s="36"/>
      <c r="U84" s="36"/>
      <c r="V84" s="36"/>
      <c r="X84" s="285"/>
    </row>
    <row r="85" spans="1:24" s="41" customFormat="1" ht="29.25" thickBot="1" x14ac:dyDescent="0.3">
      <c r="A85" s="36"/>
      <c r="B85" s="287"/>
      <c r="C85" s="288" t="s">
        <v>532</v>
      </c>
      <c r="D85" s="207"/>
      <c r="E85" s="207"/>
      <c r="F85" s="207"/>
      <c r="G85" s="207"/>
      <c r="H85" s="207"/>
      <c r="I85" s="207"/>
      <c r="J85" s="207"/>
      <c r="K85" s="207"/>
      <c r="L85" s="207"/>
      <c r="M85" s="207"/>
      <c r="N85" s="207"/>
      <c r="O85" s="207"/>
      <c r="P85" s="207"/>
      <c r="Q85" s="207"/>
      <c r="R85" s="207"/>
      <c r="S85" s="207"/>
      <c r="T85" s="207"/>
      <c r="U85" s="207"/>
      <c r="V85" s="207"/>
    </row>
    <row r="86" spans="1:24" s="41" customFormat="1" ht="29.25" thickBot="1" x14ac:dyDescent="0.3">
      <c r="A86" s="36"/>
      <c r="B86" s="324"/>
      <c r="C86" s="288" t="s">
        <v>668</v>
      </c>
      <c r="D86" s="207"/>
      <c r="E86" s="207"/>
      <c r="F86" s="207"/>
      <c r="G86" s="207"/>
      <c r="H86" s="207"/>
      <c r="I86" s="207"/>
      <c r="J86" s="207"/>
      <c r="K86" s="207"/>
      <c r="L86" s="207"/>
      <c r="M86" s="207"/>
      <c r="N86" s="207"/>
      <c r="O86" s="207"/>
      <c r="P86" s="207"/>
      <c r="Q86" s="207"/>
      <c r="R86" s="207"/>
      <c r="S86" s="207"/>
      <c r="T86" s="207"/>
      <c r="U86" s="207"/>
      <c r="V86" s="207"/>
    </row>
    <row r="87" spans="1:24" s="41" customFormat="1" ht="57.75" thickBot="1" x14ac:dyDescent="0.3">
      <c r="A87" s="36"/>
      <c r="B87" s="325"/>
      <c r="C87" s="288" t="s">
        <v>581</v>
      </c>
      <c r="D87" s="207"/>
      <c r="E87" s="207"/>
      <c r="F87" s="207"/>
      <c r="G87" s="207"/>
      <c r="H87" s="207"/>
      <c r="I87" s="207"/>
      <c r="J87" s="207"/>
      <c r="K87" s="207"/>
      <c r="L87" s="207"/>
      <c r="M87" s="207"/>
      <c r="N87" s="207"/>
      <c r="O87" s="207"/>
      <c r="P87" s="207"/>
      <c r="Q87" s="207"/>
      <c r="R87" s="207"/>
      <c r="S87" s="207"/>
      <c r="T87" s="207"/>
      <c r="U87" s="207"/>
      <c r="V87" s="207"/>
    </row>
    <row r="88" spans="1:24" s="41" customFormat="1" ht="63" customHeight="1" thickBot="1" x14ac:dyDescent="0.3">
      <c r="A88" s="36"/>
      <c r="B88" s="409"/>
      <c r="C88" s="410" t="s">
        <v>619</v>
      </c>
      <c r="D88" s="207"/>
      <c r="E88" s="207"/>
      <c r="F88" s="207"/>
      <c r="G88" s="207"/>
      <c r="H88" s="207"/>
      <c r="I88" s="207"/>
      <c r="J88" s="207"/>
      <c r="K88" s="207"/>
      <c r="L88" s="207"/>
      <c r="M88" s="207"/>
      <c r="N88" s="207"/>
      <c r="O88" s="207"/>
      <c r="P88" s="207"/>
      <c r="Q88" s="207"/>
      <c r="R88" s="207"/>
      <c r="S88" s="207"/>
      <c r="T88" s="207"/>
      <c r="U88" s="207"/>
      <c r="V88" s="207"/>
    </row>
    <row r="89" spans="1:24" s="41" customFormat="1" ht="57.75" thickBot="1" x14ac:dyDescent="0.3">
      <c r="A89" s="36"/>
      <c r="B89" s="411"/>
      <c r="C89" s="412" t="s">
        <v>669</v>
      </c>
      <c r="M89" s="207"/>
      <c r="N89" s="207"/>
      <c r="O89" s="207"/>
      <c r="P89" s="207"/>
      <c r="Q89" s="207"/>
      <c r="R89" s="207"/>
      <c r="S89" s="207"/>
      <c r="T89" s="207"/>
      <c r="U89" s="207"/>
      <c r="V89" s="207"/>
    </row>
    <row r="90" spans="1:24" s="37" customFormat="1" ht="58.5" customHeight="1" thickBot="1" x14ac:dyDescent="0.3">
      <c r="A90" s="35"/>
      <c r="B90" s="413"/>
      <c r="C90" s="412" t="s">
        <v>620</v>
      </c>
    </row>
    <row r="91" spans="1:24" x14ac:dyDescent="0.45">
      <c r="B91" s="38" t="s">
        <v>419</v>
      </c>
    </row>
    <row r="92" spans="1:24" x14ac:dyDescent="0.45">
      <c r="B92" s="329" t="s">
        <v>767</v>
      </c>
      <c r="C92" s="285"/>
      <c r="D92" s="207"/>
      <c r="E92" s="207"/>
      <c r="F92" s="207"/>
      <c r="G92" s="207"/>
      <c r="H92" s="207"/>
      <c r="I92" s="207"/>
      <c r="J92" s="207"/>
      <c r="K92" s="207"/>
      <c r="L92" s="207"/>
    </row>
    <row r="93" spans="1:24" ht="28.5" customHeight="1" x14ac:dyDescent="0.45">
      <c r="B93" s="644" t="s">
        <v>446</v>
      </c>
      <c r="C93" s="644"/>
      <c r="D93" s="644"/>
      <c r="E93" s="644"/>
      <c r="F93" s="644"/>
      <c r="G93" s="644"/>
      <c r="H93" s="644"/>
      <c r="I93" s="644"/>
      <c r="J93" s="644"/>
      <c r="K93" s="644"/>
      <c r="L93" s="644"/>
      <c r="M93" s="644"/>
      <c r="N93" s="644"/>
      <c r="O93" s="644"/>
      <c r="P93" s="644"/>
      <c r="Q93" s="644"/>
      <c r="R93" s="644"/>
      <c r="S93" s="644"/>
      <c r="T93" s="644"/>
      <c r="U93" s="644"/>
      <c r="V93" s="644"/>
    </row>
  </sheetData>
  <mergeCells count="47">
    <mergeCell ref="X47:X48"/>
    <mergeCell ref="A7:B7"/>
    <mergeCell ref="A1:B6"/>
    <mergeCell ref="A66:V66"/>
    <mergeCell ref="A70:V70"/>
    <mergeCell ref="A8:B8"/>
    <mergeCell ref="A13:A16"/>
    <mergeCell ref="A17:E17"/>
    <mergeCell ref="A29:P29"/>
    <mergeCell ref="A32:V32"/>
    <mergeCell ref="R16:R17"/>
    <mergeCell ref="S16:S17"/>
    <mergeCell ref="F14:F17"/>
    <mergeCell ref="G14:G17"/>
    <mergeCell ref="I14:I17"/>
    <mergeCell ref="C8:V8"/>
    <mergeCell ref="C7:V7"/>
    <mergeCell ref="J14:J17"/>
    <mergeCell ref="C1:L3"/>
    <mergeCell ref="M1:V3"/>
    <mergeCell ref="C4:V4"/>
    <mergeCell ref="C5:V5"/>
    <mergeCell ref="C6:V6"/>
    <mergeCell ref="M16:M17"/>
    <mergeCell ref="N16:N17"/>
    <mergeCell ref="O16:O17"/>
    <mergeCell ref="P16:P17"/>
    <mergeCell ref="T16:T17"/>
    <mergeCell ref="U16:U17"/>
    <mergeCell ref="V16:V17"/>
    <mergeCell ref="X13:X17"/>
    <mergeCell ref="H14:H17"/>
    <mergeCell ref="Q16:Q17"/>
    <mergeCell ref="B13:B16"/>
    <mergeCell ref="C13:C16"/>
    <mergeCell ref="D13:D16"/>
    <mergeCell ref="K14:V15"/>
    <mergeCell ref="K13:V13"/>
    <mergeCell ref="E13:E16"/>
    <mergeCell ref="F13:J13"/>
    <mergeCell ref="K16:K17"/>
    <mergeCell ref="L16:L17"/>
    <mergeCell ref="W47:W48"/>
    <mergeCell ref="A82:V82"/>
    <mergeCell ref="A80:V80"/>
    <mergeCell ref="B93:V93"/>
    <mergeCell ref="W13:W17"/>
  </mergeCells>
  <phoneticPr fontId="59" type="noConversion"/>
  <pageMargins left="0.31496062992125984" right="0.08" top="0.41" bottom="7.874015748031496E-2" header="0.21" footer="0.31496062992125984"/>
  <pageSetup paperSize="14"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topLeftCell="B15" zoomScale="110" zoomScaleNormal="110" workbookViewId="0">
      <selection activeCell="D29" sqref="D29"/>
    </sheetView>
  </sheetViews>
  <sheetFormatPr baseColWidth="10" defaultColWidth="11.42578125" defaultRowHeight="15" x14ac:dyDescent="0.25"/>
  <cols>
    <col min="2" max="2" width="23.42578125" bestFit="1" customWidth="1"/>
    <col min="3" max="3" width="20" bestFit="1" customWidth="1"/>
    <col min="4" max="4" width="114" customWidth="1"/>
  </cols>
  <sheetData>
    <row r="2" spans="2:6" ht="15" customHeight="1" x14ac:dyDescent="0.25">
      <c r="B2" s="486" t="s">
        <v>582</v>
      </c>
      <c r="C2" s="486"/>
      <c r="D2" s="486"/>
    </row>
    <row r="3" spans="2:6" ht="15" customHeight="1" x14ac:dyDescent="0.25">
      <c r="B3" s="486" t="s">
        <v>218</v>
      </c>
      <c r="C3" s="486"/>
      <c r="D3" s="486"/>
    </row>
    <row r="4" spans="2:6" x14ac:dyDescent="0.25">
      <c r="B4" s="276" t="s">
        <v>459</v>
      </c>
      <c r="C4" s="276" t="s">
        <v>460</v>
      </c>
      <c r="D4" s="276" t="s">
        <v>461</v>
      </c>
    </row>
    <row r="5" spans="2:6" ht="90" x14ac:dyDescent="0.25">
      <c r="B5" s="277">
        <v>18</v>
      </c>
      <c r="C5" s="278">
        <v>0.97</v>
      </c>
      <c r="D5" s="279" t="s">
        <v>636</v>
      </c>
    </row>
    <row r="6" spans="2:6" ht="15" customHeight="1" x14ac:dyDescent="0.25">
      <c r="B6" s="486" t="s">
        <v>462</v>
      </c>
      <c r="C6" s="486"/>
      <c r="D6" s="486"/>
    </row>
    <row r="7" spans="2:6" x14ac:dyDescent="0.25">
      <c r="B7" s="276" t="s">
        <v>459</v>
      </c>
      <c r="C7" s="276" t="s">
        <v>460</v>
      </c>
      <c r="D7" s="276" t="s">
        <v>461</v>
      </c>
    </row>
    <row r="8" spans="2:6" ht="18.75" x14ac:dyDescent="0.3">
      <c r="B8" s="277">
        <v>37</v>
      </c>
      <c r="C8" s="278">
        <v>1</v>
      </c>
      <c r="D8" s="428" t="s">
        <v>638</v>
      </c>
      <c r="F8" s="281" t="s">
        <v>637</v>
      </c>
    </row>
    <row r="9" spans="2:6" ht="15" customHeight="1" x14ac:dyDescent="0.3">
      <c r="B9" s="486" t="s">
        <v>219</v>
      </c>
      <c r="C9" s="486"/>
      <c r="D9" s="486"/>
      <c r="F9" s="282">
        <v>0.98</v>
      </c>
    </row>
    <row r="10" spans="2:6" x14ac:dyDescent="0.25">
      <c r="B10" s="276" t="s">
        <v>459</v>
      </c>
      <c r="C10" s="276" t="s">
        <v>460</v>
      </c>
      <c r="D10" s="276" t="s">
        <v>461</v>
      </c>
    </row>
    <row r="11" spans="2:6" ht="300" customHeight="1" x14ac:dyDescent="0.25">
      <c r="B11" s="277">
        <v>56</v>
      </c>
      <c r="C11" s="278">
        <v>0.95</v>
      </c>
      <c r="D11" s="279" t="s">
        <v>640</v>
      </c>
    </row>
    <row r="12" spans="2:6" ht="15" customHeight="1" x14ac:dyDescent="0.25">
      <c r="B12" s="486" t="s">
        <v>639</v>
      </c>
      <c r="C12" s="486"/>
      <c r="D12" s="486"/>
    </row>
    <row r="13" spans="2:6" x14ac:dyDescent="0.25">
      <c r="B13" s="276" t="s">
        <v>459</v>
      </c>
      <c r="C13" s="276" t="s">
        <v>460</v>
      </c>
      <c r="D13" s="276" t="s">
        <v>461</v>
      </c>
    </row>
    <row r="14" spans="2:6" ht="30" x14ac:dyDescent="0.25">
      <c r="B14" s="277">
        <v>18</v>
      </c>
      <c r="C14" s="278">
        <v>1</v>
      </c>
      <c r="D14" s="279" t="s">
        <v>463</v>
      </c>
    </row>
    <row r="15" spans="2:6" ht="15" customHeight="1" x14ac:dyDescent="0.25">
      <c r="B15" s="486" t="s">
        <v>220</v>
      </c>
      <c r="C15" s="486"/>
      <c r="D15" s="486"/>
    </row>
    <row r="16" spans="2:6" x14ac:dyDescent="0.25">
      <c r="B16" s="276" t="s">
        <v>459</v>
      </c>
      <c r="C16" s="276" t="s">
        <v>460</v>
      </c>
      <c r="D16" s="276" t="s">
        <v>461</v>
      </c>
    </row>
    <row r="17" spans="1:11" x14ac:dyDescent="0.25">
      <c r="B17" s="277">
        <v>24</v>
      </c>
      <c r="C17" s="278">
        <v>1</v>
      </c>
      <c r="D17" s="279" t="s">
        <v>464</v>
      </c>
    </row>
    <row r="20" spans="1:11" x14ac:dyDescent="0.25">
      <c r="A20" s="19"/>
      <c r="B20" s="19"/>
      <c r="C20" s="19"/>
      <c r="D20" s="19"/>
      <c r="E20" s="19"/>
      <c r="F20" s="19"/>
      <c r="G20" s="19"/>
      <c r="H20" s="19"/>
      <c r="I20" s="19"/>
      <c r="J20" s="19"/>
      <c r="K20" s="19"/>
    </row>
    <row r="21" spans="1:11" x14ac:dyDescent="0.25">
      <c r="A21" s="19"/>
      <c r="B21" s="19"/>
      <c r="C21" s="19"/>
      <c r="D21" s="19"/>
      <c r="E21" s="19"/>
      <c r="F21" s="19"/>
      <c r="G21" s="19"/>
      <c r="H21" s="19"/>
      <c r="I21" s="19"/>
      <c r="J21" s="19"/>
      <c r="K21" s="19"/>
    </row>
    <row r="22" spans="1:11" x14ac:dyDescent="0.25">
      <c r="A22" s="19"/>
      <c r="B22" s="19"/>
      <c r="C22" s="19"/>
      <c r="D22" s="19"/>
      <c r="E22" s="19"/>
      <c r="F22" s="19"/>
      <c r="G22" s="19"/>
      <c r="H22" s="19"/>
      <c r="I22" s="19"/>
      <c r="J22" s="19"/>
      <c r="K22" s="19"/>
    </row>
    <row r="23" spans="1:11" x14ac:dyDescent="0.25">
      <c r="A23" s="19"/>
      <c r="B23" s="19"/>
      <c r="C23" s="19"/>
      <c r="D23" s="19"/>
      <c r="E23" s="19"/>
      <c r="F23" s="19"/>
      <c r="G23" s="19"/>
      <c r="H23" s="19"/>
      <c r="I23" s="19"/>
      <c r="J23" s="19"/>
      <c r="K23" s="19"/>
    </row>
    <row r="24" spans="1:11" x14ac:dyDescent="0.25">
      <c r="A24" s="19"/>
      <c r="B24" s="19"/>
      <c r="C24" s="19"/>
      <c r="D24" s="19"/>
      <c r="E24" s="19"/>
      <c r="F24" s="19"/>
      <c r="G24" s="19"/>
      <c r="H24" s="19"/>
      <c r="I24" s="19"/>
      <c r="J24" s="19"/>
      <c r="K24" s="19"/>
    </row>
    <row r="25" spans="1:11" x14ac:dyDescent="0.25">
      <c r="A25" s="19"/>
      <c r="B25" s="19"/>
      <c r="C25" s="19"/>
      <c r="D25" s="19"/>
      <c r="E25" s="19"/>
      <c r="F25" s="19"/>
      <c r="G25" s="19"/>
      <c r="H25" s="19"/>
      <c r="I25" s="19"/>
      <c r="J25" s="19"/>
      <c r="K25" s="19"/>
    </row>
    <row r="26" spans="1:11" x14ac:dyDescent="0.25">
      <c r="A26" s="19"/>
      <c r="B26" s="19"/>
      <c r="C26" s="19"/>
      <c r="D26" s="19"/>
      <c r="E26" s="19"/>
      <c r="F26" s="19"/>
      <c r="G26" s="19"/>
      <c r="H26" s="19"/>
      <c r="I26" s="19"/>
      <c r="J26" s="19"/>
      <c r="K26" s="19"/>
    </row>
    <row r="27" spans="1:11" x14ac:dyDescent="0.25">
      <c r="A27" s="19"/>
      <c r="B27" s="19"/>
      <c r="C27" s="19"/>
      <c r="D27" s="19"/>
      <c r="E27" s="19"/>
      <c r="F27" s="19"/>
      <c r="G27" s="19"/>
      <c r="H27" s="19"/>
      <c r="I27" s="19"/>
      <c r="J27" s="19"/>
      <c r="K27" s="19"/>
    </row>
    <row r="28" spans="1:11" x14ac:dyDescent="0.25">
      <c r="A28" s="19"/>
      <c r="B28" s="19"/>
      <c r="C28" s="19"/>
      <c r="D28" s="19"/>
      <c r="E28" s="19"/>
      <c r="F28" s="19"/>
      <c r="G28" s="19"/>
      <c r="H28" s="19"/>
      <c r="I28" s="19"/>
      <c r="J28" s="19"/>
      <c r="K28" s="19"/>
    </row>
    <row r="29" spans="1:11" x14ac:dyDescent="0.25">
      <c r="A29" s="19"/>
      <c r="B29" s="19"/>
      <c r="C29" s="19"/>
      <c r="D29" s="19"/>
      <c r="E29" s="19"/>
      <c r="F29" s="19"/>
      <c r="G29" s="19"/>
      <c r="H29" s="19"/>
      <c r="I29" s="19"/>
      <c r="J29" s="19"/>
      <c r="K29" s="19"/>
    </row>
    <row r="30" spans="1:11" x14ac:dyDescent="0.25">
      <c r="A30" s="19"/>
      <c r="B30" s="19"/>
      <c r="C30" s="19"/>
      <c r="D30" s="19"/>
      <c r="E30" s="19"/>
      <c r="F30" s="19"/>
      <c r="G30" s="19"/>
      <c r="H30" s="19"/>
      <c r="I30" s="19"/>
      <c r="J30" s="19"/>
      <c r="K30" s="19"/>
    </row>
    <row r="31" spans="1:11" x14ac:dyDescent="0.25">
      <c r="A31" s="19"/>
      <c r="B31" s="19"/>
      <c r="C31" s="19"/>
      <c r="D31" s="19"/>
      <c r="E31" s="19"/>
      <c r="F31" s="19"/>
      <c r="G31" s="19"/>
      <c r="H31" s="19"/>
      <c r="I31" s="19"/>
      <c r="J31" s="19"/>
      <c r="K31" s="19"/>
    </row>
    <row r="32" spans="1:11" x14ac:dyDescent="0.25">
      <c r="A32" s="19"/>
      <c r="B32" s="19"/>
      <c r="C32" s="19"/>
      <c r="D32" s="19"/>
      <c r="E32" s="19"/>
      <c r="F32" s="19"/>
      <c r="G32" s="19"/>
      <c r="H32" s="19"/>
      <c r="I32" s="19"/>
      <c r="J32" s="19"/>
      <c r="K32" s="19"/>
    </row>
    <row r="33" spans="1:11" x14ac:dyDescent="0.25">
      <c r="A33" s="19"/>
      <c r="B33" s="19"/>
      <c r="C33" s="19"/>
      <c r="D33" s="19"/>
      <c r="E33" s="19"/>
      <c r="F33" s="19"/>
      <c r="G33" s="19"/>
      <c r="H33" s="19"/>
      <c r="I33" s="19"/>
      <c r="J33" s="19"/>
      <c r="K33" s="19"/>
    </row>
    <row r="34" spans="1:11" x14ac:dyDescent="0.25">
      <c r="A34" s="19"/>
      <c r="B34" s="19"/>
      <c r="C34" s="19"/>
      <c r="D34" s="19"/>
      <c r="E34" s="19"/>
      <c r="F34" s="19"/>
      <c r="G34" s="19"/>
      <c r="H34" s="19"/>
      <c r="I34" s="19"/>
      <c r="J34" s="19"/>
      <c r="K34" s="19"/>
    </row>
    <row r="35" spans="1:11" x14ac:dyDescent="0.25">
      <c r="A35" s="19"/>
      <c r="B35" s="19"/>
      <c r="C35" s="19"/>
      <c r="D35" s="19"/>
      <c r="E35" s="19"/>
      <c r="F35" s="19"/>
      <c r="G35" s="19"/>
      <c r="H35" s="19"/>
      <c r="I35" s="19"/>
      <c r="J35" s="19"/>
      <c r="K35" s="19"/>
    </row>
    <row r="36" spans="1:11" x14ac:dyDescent="0.25">
      <c r="A36" s="19"/>
      <c r="B36" s="19"/>
      <c r="C36" s="19"/>
      <c r="D36" s="19"/>
      <c r="E36" s="19"/>
      <c r="F36" s="19"/>
      <c r="G36" s="19"/>
      <c r="H36" s="19"/>
      <c r="I36" s="19"/>
      <c r="J36" s="19"/>
      <c r="K36" s="19"/>
    </row>
    <row r="37" spans="1:11" x14ac:dyDescent="0.25">
      <c r="A37" s="19"/>
      <c r="B37" s="19"/>
      <c r="C37" s="19"/>
      <c r="D37" s="19"/>
      <c r="E37" s="19"/>
      <c r="F37" s="19"/>
      <c r="G37" s="19"/>
      <c r="H37" s="19"/>
      <c r="I37" s="19"/>
      <c r="J37" s="19"/>
      <c r="K37" s="19"/>
    </row>
    <row r="38" spans="1:11" x14ac:dyDescent="0.25">
      <c r="A38" s="19"/>
      <c r="B38" s="19"/>
      <c r="C38" s="19"/>
      <c r="D38" s="19"/>
      <c r="E38" s="19"/>
      <c r="F38" s="19"/>
      <c r="G38" s="19"/>
      <c r="H38" s="19"/>
      <c r="I38" s="19"/>
      <c r="J38" s="19"/>
      <c r="K38" s="19"/>
    </row>
    <row r="39" spans="1:11" x14ac:dyDescent="0.25">
      <c r="A39" s="19"/>
      <c r="B39" s="19"/>
      <c r="C39" s="19"/>
      <c r="D39" s="19"/>
      <c r="E39" s="19"/>
      <c r="F39" s="19"/>
      <c r="G39" s="19"/>
      <c r="H39" s="19"/>
      <c r="I39" s="19"/>
      <c r="J39" s="19"/>
      <c r="K39" s="19"/>
    </row>
    <row r="40" spans="1:11" x14ac:dyDescent="0.25">
      <c r="A40" s="19"/>
      <c r="B40" s="19"/>
      <c r="C40" s="19"/>
      <c r="D40" s="19"/>
      <c r="E40" s="19"/>
      <c r="F40" s="19"/>
      <c r="G40" s="19"/>
      <c r="H40" s="19"/>
      <c r="I40" s="19"/>
      <c r="J40" s="19"/>
      <c r="K40" s="19"/>
    </row>
    <row r="41" spans="1:11" x14ac:dyDescent="0.25">
      <c r="A41" s="19"/>
      <c r="B41" s="19"/>
      <c r="C41" s="19"/>
      <c r="D41" s="19"/>
      <c r="E41" s="19"/>
      <c r="F41" s="19"/>
      <c r="G41" s="19"/>
      <c r="H41" s="19"/>
      <c r="I41" s="19"/>
      <c r="J41" s="19"/>
      <c r="K41" s="19"/>
    </row>
    <row r="42" spans="1:11" x14ac:dyDescent="0.25">
      <c r="A42" s="19"/>
      <c r="B42" s="19"/>
      <c r="C42" s="19"/>
      <c r="D42" s="19"/>
      <c r="E42" s="19"/>
      <c r="F42" s="19"/>
      <c r="G42" s="19"/>
      <c r="H42" s="19"/>
      <c r="I42" s="19"/>
      <c r="J42" s="19"/>
      <c r="K42" s="19"/>
    </row>
    <row r="43" spans="1:11" x14ac:dyDescent="0.25">
      <c r="A43" s="19"/>
      <c r="B43" s="19"/>
      <c r="C43" s="19"/>
      <c r="D43" s="19"/>
      <c r="E43" s="19"/>
      <c r="F43" s="19"/>
      <c r="G43" s="19"/>
      <c r="H43" s="19"/>
      <c r="I43" s="19"/>
      <c r="J43" s="19"/>
      <c r="K43" s="19"/>
    </row>
    <row r="44" spans="1:11" x14ac:dyDescent="0.25">
      <c r="A44" s="19"/>
      <c r="B44" s="19"/>
      <c r="C44" s="19"/>
      <c r="D44" s="19"/>
      <c r="E44" s="19"/>
      <c r="F44" s="19"/>
      <c r="G44" s="19"/>
      <c r="H44" s="19"/>
      <c r="I44" s="19"/>
      <c r="J44" s="19"/>
      <c r="K44" s="19"/>
    </row>
    <row r="45" spans="1:11" x14ac:dyDescent="0.25">
      <c r="A45" s="19"/>
      <c r="B45" s="19"/>
      <c r="C45" s="19"/>
      <c r="D45" s="19"/>
      <c r="E45" s="19"/>
      <c r="F45" s="19"/>
      <c r="G45" s="19"/>
      <c r="H45" s="19"/>
      <c r="I45" s="19"/>
      <c r="J45" s="19"/>
      <c r="K45" s="19"/>
    </row>
    <row r="46" spans="1:11" x14ac:dyDescent="0.25">
      <c r="A46" s="19"/>
      <c r="B46" s="19"/>
      <c r="C46" s="19"/>
      <c r="D46" s="19"/>
      <c r="E46" s="19"/>
      <c r="F46" s="19"/>
      <c r="G46" s="19"/>
      <c r="H46" s="19"/>
      <c r="I46" s="19"/>
      <c r="J46" s="19"/>
      <c r="K46" s="19"/>
    </row>
    <row r="47" spans="1:11" x14ac:dyDescent="0.25">
      <c r="A47" s="19"/>
      <c r="B47" s="19"/>
      <c r="C47" s="19"/>
      <c r="D47" s="19"/>
      <c r="E47" s="19"/>
      <c r="F47" s="19"/>
      <c r="G47" s="19"/>
      <c r="H47" s="19"/>
      <c r="I47" s="19"/>
      <c r="J47" s="19"/>
      <c r="K47" s="19"/>
    </row>
    <row r="48" spans="1:11" x14ac:dyDescent="0.25">
      <c r="A48" s="19"/>
      <c r="B48" s="19"/>
      <c r="C48" s="19"/>
      <c r="D48" s="19"/>
      <c r="E48" s="19"/>
      <c r="F48" s="19"/>
      <c r="G48" s="19"/>
      <c r="H48" s="19"/>
      <c r="I48" s="19"/>
      <c r="J48" s="19"/>
      <c r="K48" s="19"/>
    </row>
    <row r="49" spans="1:11" x14ac:dyDescent="0.25">
      <c r="A49" s="19"/>
      <c r="B49" s="19"/>
      <c r="C49" s="19"/>
      <c r="D49" s="19"/>
      <c r="E49" s="19"/>
      <c r="F49" s="19"/>
      <c r="G49" s="19"/>
      <c r="H49" s="19"/>
      <c r="I49" s="19"/>
      <c r="J49" s="19"/>
      <c r="K49" s="19"/>
    </row>
    <row r="50" spans="1:11" x14ac:dyDescent="0.25">
      <c r="A50" s="19"/>
      <c r="B50" s="19"/>
      <c r="C50" s="19"/>
      <c r="D50" s="19"/>
      <c r="E50" s="19"/>
      <c r="F50" s="19"/>
      <c r="G50" s="19"/>
      <c r="H50" s="19"/>
      <c r="I50" s="19"/>
      <c r="J50" s="19"/>
      <c r="K50" s="19"/>
    </row>
    <row r="51" spans="1:11" x14ac:dyDescent="0.25">
      <c r="A51" s="19"/>
      <c r="B51" s="19"/>
      <c r="C51" s="19"/>
      <c r="D51" s="19"/>
      <c r="E51" s="19"/>
      <c r="F51" s="19"/>
      <c r="G51" s="19"/>
      <c r="H51" s="19"/>
      <c r="I51" s="19"/>
      <c r="J51" s="19"/>
      <c r="K51" s="19"/>
    </row>
    <row r="52" spans="1:11" x14ac:dyDescent="0.25">
      <c r="A52" s="19"/>
      <c r="B52" s="19"/>
      <c r="C52" s="19"/>
      <c r="D52" s="19"/>
      <c r="E52" s="19"/>
      <c r="F52" s="19"/>
      <c r="G52" s="19"/>
      <c r="H52" s="19"/>
      <c r="I52" s="19"/>
      <c r="J52" s="19"/>
      <c r="K52" s="19"/>
    </row>
    <row r="53" spans="1:11" x14ac:dyDescent="0.25">
      <c r="A53" s="19"/>
      <c r="B53" s="19"/>
      <c r="C53" s="19"/>
      <c r="D53" s="19"/>
      <c r="E53" s="19"/>
      <c r="F53" s="19"/>
      <c r="G53" s="19"/>
      <c r="H53" s="19"/>
      <c r="I53" s="19"/>
      <c r="J53" s="19"/>
      <c r="K53" s="19"/>
    </row>
    <row r="54" spans="1:11" x14ac:dyDescent="0.25">
      <c r="A54" s="19"/>
      <c r="B54" s="19"/>
      <c r="C54" s="19"/>
      <c r="D54" s="19"/>
      <c r="E54" s="19"/>
      <c r="F54" s="19"/>
      <c r="G54" s="19"/>
      <c r="H54" s="19"/>
      <c r="I54" s="19"/>
      <c r="J54" s="19"/>
      <c r="K54" s="19"/>
    </row>
    <row r="55" spans="1:11" x14ac:dyDescent="0.25">
      <c r="A55" s="19"/>
      <c r="B55" s="19"/>
      <c r="C55" s="19"/>
      <c r="D55" s="19"/>
      <c r="E55" s="19"/>
      <c r="F55" s="19"/>
      <c r="G55" s="19"/>
      <c r="H55" s="19"/>
      <c r="I55" s="19"/>
      <c r="J55" s="19"/>
      <c r="K55" s="19"/>
    </row>
    <row r="56" spans="1:11" x14ac:dyDescent="0.25">
      <c r="A56" s="19"/>
      <c r="B56" s="19"/>
      <c r="C56" s="19"/>
      <c r="D56" s="19"/>
      <c r="E56" s="19"/>
      <c r="F56" s="19"/>
      <c r="G56" s="19"/>
      <c r="H56" s="19"/>
      <c r="I56" s="19"/>
      <c r="J56" s="19"/>
      <c r="K56" s="19"/>
    </row>
    <row r="57" spans="1:11" x14ac:dyDescent="0.25">
      <c r="A57" s="19"/>
      <c r="B57" s="19"/>
      <c r="C57" s="19"/>
      <c r="D57" s="19"/>
      <c r="E57" s="19"/>
      <c r="F57" s="19"/>
      <c r="G57" s="19"/>
      <c r="H57" s="19"/>
      <c r="I57" s="19"/>
      <c r="J57" s="19"/>
      <c r="K57" s="19"/>
    </row>
    <row r="58" spans="1:11" x14ac:dyDescent="0.25">
      <c r="A58" s="19"/>
      <c r="B58" s="19"/>
      <c r="C58" s="19"/>
      <c r="D58" s="19"/>
      <c r="E58" s="19"/>
      <c r="F58" s="19"/>
      <c r="G58" s="19"/>
      <c r="H58" s="19"/>
      <c r="I58" s="19"/>
      <c r="J58" s="19"/>
      <c r="K58" s="19"/>
    </row>
    <row r="59" spans="1:11" x14ac:dyDescent="0.25">
      <c r="A59" s="19"/>
      <c r="B59" s="19"/>
      <c r="C59" s="19"/>
      <c r="D59" s="19"/>
      <c r="E59" s="19"/>
      <c r="F59" s="19"/>
      <c r="G59" s="19"/>
      <c r="H59" s="19"/>
      <c r="I59" s="19"/>
      <c r="J59" s="19"/>
      <c r="K59" s="19"/>
    </row>
  </sheetData>
  <mergeCells count="6">
    <mergeCell ref="B15:D15"/>
    <mergeCell ref="B2:D2"/>
    <mergeCell ref="B3:D3"/>
    <mergeCell ref="B6:D6"/>
    <mergeCell ref="B9:D9"/>
    <mergeCell ref="B12:D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baseColWidth="10" defaultColWidth="11.42578125" defaultRowHeight="15" x14ac:dyDescent="0.25"/>
  <cols>
    <col min="1" max="1" width="43.28515625" style="63" customWidth="1"/>
    <col min="2" max="2" width="103.7109375" style="63" customWidth="1"/>
    <col min="3" max="16384" width="11.42578125" style="63"/>
  </cols>
  <sheetData>
    <row r="1" spans="1:2" ht="46.5" customHeight="1" x14ac:dyDescent="0.25">
      <c r="A1" s="487" t="s">
        <v>29</v>
      </c>
      <c r="B1" s="488"/>
    </row>
    <row r="2" spans="1:2" ht="78" customHeight="1" x14ac:dyDescent="0.25">
      <c r="A2" s="61" t="s">
        <v>51</v>
      </c>
      <c r="B2" s="56" t="s">
        <v>30</v>
      </c>
    </row>
    <row r="3" spans="1:2" ht="78" customHeight="1" x14ac:dyDescent="0.25">
      <c r="A3" s="61" t="s">
        <v>50</v>
      </c>
      <c r="B3" s="56" t="s">
        <v>49</v>
      </c>
    </row>
    <row r="4" spans="1:2" ht="78" customHeight="1" x14ac:dyDescent="0.25">
      <c r="A4" s="61" t="s">
        <v>52</v>
      </c>
      <c r="B4" s="56" t="s">
        <v>97</v>
      </c>
    </row>
    <row r="5" spans="1:2" ht="201.75" customHeight="1" x14ac:dyDescent="0.25">
      <c r="A5" s="61" t="s">
        <v>31</v>
      </c>
      <c r="B5" s="56" t="s">
        <v>32</v>
      </c>
    </row>
    <row r="6" spans="1:2" ht="78" customHeight="1" x14ac:dyDescent="0.25">
      <c r="A6" s="61" t="s">
        <v>53</v>
      </c>
      <c r="B6" s="56" t="s">
        <v>33</v>
      </c>
    </row>
    <row r="7" spans="1:2" ht="78" customHeight="1" x14ac:dyDescent="0.25">
      <c r="A7" s="60" t="s">
        <v>34</v>
      </c>
      <c r="B7" s="56" t="s">
        <v>35</v>
      </c>
    </row>
    <row r="8" spans="1:2" ht="78" customHeight="1" x14ac:dyDescent="0.25">
      <c r="A8" s="61" t="s">
        <v>54</v>
      </c>
      <c r="B8" s="56" t="s">
        <v>36</v>
      </c>
    </row>
    <row r="9" spans="1:2" ht="78" customHeight="1" x14ac:dyDescent="0.25">
      <c r="A9" s="60" t="s">
        <v>37</v>
      </c>
      <c r="B9" s="56" t="s">
        <v>56</v>
      </c>
    </row>
    <row r="10" spans="1:2" ht="78" customHeight="1" x14ac:dyDescent="0.25">
      <c r="A10" s="60" t="s">
        <v>38</v>
      </c>
      <c r="B10" s="56" t="s">
        <v>39</v>
      </c>
    </row>
    <row r="11" spans="1:2" ht="78" customHeight="1" x14ac:dyDescent="0.25">
      <c r="A11" s="61" t="s">
        <v>40</v>
      </c>
      <c r="B11" s="56" t="s">
        <v>41</v>
      </c>
    </row>
    <row r="12" spans="1:2" ht="78" customHeight="1" x14ac:dyDescent="0.25">
      <c r="A12" s="61" t="s">
        <v>42</v>
      </c>
      <c r="B12" s="56" t="s">
        <v>57</v>
      </c>
    </row>
    <row r="13" spans="1:2" ht="78" customHeight="1" x14ac:dyDescent="0.25">
      <c r="A13" s="61" t="s">
        <v>43</v>
      </c>
      <c r="B13" s="56" t="s">
        <v>44</v>
      </c>
    </row>
    <row r="14" spans="1:2" ht="110.25" customHeight="1" x14ac:dyDescent="0.25">
      <c r="A14" s="61" t="s">
        <v>45</v>
      </c>
      <c r="B14" s="56" t="s">
        <v>46</v>
      </c>
    </row>
    <row r="15" spans="1:2" ht="78" customHeight="1" x14ac:dyDescent="0.25">
      <c r="A15" s="61" t="s">
        <v>55</v>
      </c>
      <c r="B15" s="56" t="s">
        <v>281</v>
      </c>
    </row>
    <row r="16" spans="1:2" ht="78" customHeight="1" x14ac:dyDescent="0.25">
      <c r="A16" s="168" t="s">
        <v>47</v>
      </c>
      <c r="B16" s="169" t="s">
        <v>48</v>
      </c>
    </row>
    <row r="20" spans="1:1" x14ac:dyDescent="0.25">
      <c r="A20" s="170"/>
    </row>
    <row r="21" spans="1:1" x14ac:dyDescent="0.25">
      <c r="A21" s="171"/>
    </row>
    <row r="22" spans="1:1" x14ac:dyDescent="0.25">
      <c r="A22" s="171"/>
    </row>
    <row r="23" spans="1:1" x14ac:dyDescent="0.25">
      <c r="A23" s="171"/>
    </row>
    <row r="24" spans="1:1" x14ac:dyDescent="0.25">
      <c r="A24" s="167"/>
    </row>
    <row r="25" spans="1:1" x14ac:dyDescent="0.25">
      <c r="A25" s="167"/>
    </row>
    <row r="26" spans="1:1" x14ac:dyDescent="0.25">
      <c r="A26" s="167"/>
    </row>
    <row r="27" spans="1:1" x14ac:dyDescent="0.25">
      <c r="A27" s="167"/>
    </row>
  </sheetData>
  <sortState ref="A6:A19">
    <sortCondition ref="A5"/>
  </sortState>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2"/>
  <sheetViews>
    <sheetView topLeftCell="A4" workbookViewId="0"/>
  </sheetViews>
  <sheetFormatPr baseColWidth="10" defaultColWidth="11.42578125" defaultRowHeight="15" x14ac:dyDescent="0.25"/>
  <cols>
    <col min="1" max="2" width="11.42578125" style="19"/>
    <col min="3" max="3" width="16.85546875" style="19" customWidth="1"/>
    <col min="4" max="16384" width="11.42578125" style="19"/>
  </cols>
  <sheetData>
    <row r="4" spans="3:11" ht="15.75" thickBot="1" x14ac:dyDescent="0.3"/>
    <row r="5" spans="3:11" x14ac:dyDescent="0.25">
      <c r="C5" s="143" t="s">
        <v>237</v>
      </c>
      <c r="D5" s="144"/>
      <c r="E5" s="144"/>
      <c r="F5" s="144"/>
      <c r="G5" s="144"/>
      <c r="H5" s="144"/>
      <c r="I5" s="144"/>
      <c r="J5" s="144"/>
      <c r="K5" s="145"/>
    </row>
    <row r="6" spans="3:11" ht="15.75" thickBot="1" x14ac:dyDescent="0.3">
      <c r="C6" s="146" t="s">
        <v>239</v>
      </c>
      <c r="D6" s="147" t="s">
        <v>238</v>
      </c>
      <c r="E6" s="147"/>
      <c r="F6" s="147"/>
      <c r="G6" s="147"/>
      <c r="H6" s="147"/>
      <c r="I6" s="147"/>
      <c r="J6" s="147"/>
      <c r="K6" s="148"/>
    </row>
    <row r="9" spans="3:11" ht="272.25" customHeight="1" x14ac:dyDescent="0.25">
      <c r="C9" s="489" t="s">
        <v>246</v>
      </c>
      <c r="D9" s="489"/>
      <c r="E9" s="489"/>
      <c r="F9" s="489"/>
      <c r="G9" s="489"/>
      <c r="H9" s="489"/>
      <c r="I9" s="489"/>
      <c r="J9" s="489"/>
      <c r="K9" s="489"/>
    </row>
    <row r="10" spans="3:11" ht="205.5" customHeight="1" x14ac:dyDescent="0.25">
      <c r="C10" s="489" t="s">
        <v>245</v>
      </c>
      <c r="D10" s="489"/>
      <c r="E10" s="489"/>
      <c r="F10" s="489"/>
      <c r="G10" s="489"/>
      <c r="H10" s="489"/>
      <c r="I10" s="489"/>
      <c r="J10" s="489"/>
      <c r="K10" s="489"/>
    </row>
    <row r="11" spans="3:11" ht="205.5" customHeight="1" x14ac:dyDescent="0.25">
      <c r="C11" s="164"/>
      <c r="D11" s="164"/>
      <c r="E11" s="164"/>
      <c r="F11" s="164"/>
      <c r="G11" s="164"/>
      <c r="H11" s="164"/>
      <c r="I11" s="164"/>
      <c r="J11" s="164"/>
      <c r="K11" s="164"/>
    </row>
    <row r="12" spans="3:11" ht="39.75" customHeight="1" x14ac:dyDescent="0.25">
      <c r="C12" s="490" t="s">
        <v>247</v>
      </c>
      <c r="D12" s="490"/>
      <c r="E12" s="490"/>
      <c r="F12" s="490"/>
      <c r="G12" s="490"/>
      <c r="H12" s="490"/>
      <c r="I12" s="490"/>
      <c r="J12" s="490"/>
      <c r="K12" s="490"/>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8" workbookViewId="0"/>
  </sheetViews>
  <sheetFormatPr baseColWidth="10" defaultColWidth="11.42578125" defaultRowHeight="15" x14ac:dyDescent="0.25"/>
  <cols>
    <col min="1" max="1" width="24.140625" style="19" customWidth="1"/>
    <col min="2" max="2" width="44.42578125" style="19" customWidth="1"/>
    <col min="3" max="3" width="47.28515625" style="19" bestFit="1" customWidth="1"/>
    <col min="4" max="4" width="27" style="67" customWidth="1"/>
    <col min="5" max="5" width="25.28515625" style="19" customWidth="1"/>
    <col min="6" max="6" width="45.7109375" style="19" customWidth="1"/>
    <col min="7" max="13" width="11.42578125" style="19"/>
    <col min="14" max="14" width="27.5703125" style="19" customWidth="1"/>
    <col min="15" max="16384" width="11.42578125" style="19"/>
  </cols>
  <sheetData>
    <row r="1" spans="1:14" ht="72" customHeight="1" x14ac:dyDescent="0.25">
      <c r="A1"/>
      <c r="B1" s="491" t="s">
        <v>537</v>
      </c>
      <c r="C1" s="491"/>
      <c r="D1" s="491"/>
      <c r="E1" s="491"/>
      <c r="F1" s="492"/>
      <c r="G1" s="64"/>
      <c r="H1" s="64"/>
      <c r="I1" s="64"/>
      <c r="J1" s="64"/>
      <c r="K1" s="64"/>
      <c r="L1" s="64"/>
      <c r="M1" s="66"/>
      <c r="N1" s="67"/>
    </row>
    <row r="2" spans="1:14" ht="16.5" x14ac:dyDescent="0.3">
      <c r="A2" s="68" t="s">
        <v>101</v>
      </c>
      <c r="B2" s="197">
        <v>45291</v>
      </c>
      <c r="F2" s="20"/>
    </row>
    <row r="3" spans="1:14" ht="76.5" customHeight="1" x14ac:dyDescent="0.25">
      <c r="A3" s="493" t="s">
        <v>128</v>
      </c>
      <c r="B3" s="494"/>
      <c r="C3" s="494"/>
      <c r="D3" s="494"/>
      <c r="E3" s="494"/>
      <c r="F3" s="495"/>
    </row>
    <row r="4" spans="1:14" ht="24.75" customHeight="1" x14ac:dyDescent="0.25">
      <c r="A4" s="69"/>
      <c r="B4"/>
      <c r="C4"/>
      <c r="D4" s="209"/>
      <c r="E4"/>
      <c r="F4" s="70"/>
      <c r="H4"/>
    </row>
    <row r="5" spans="1:14" ht="28.5" x14ac:dyDescent="0.25">
      <c r="A5" s="71" t="s">
        <v>65</v>
      </c>
      <c r="B5" s="53" t="s">
        <v>60</v>
      </c>
      <c r="C5" s="53" t="s">
        <v>61</v>
      </c>
      <c r="D5" s="53" t="s">
        <v>62</v>
      </c>
      <c r="E5" s="53" t="s">
        <v>64</v>
      </c>
      <c r="F5" s="72" t="s">
        <v>63</v>
      </c>
      <c r="G5" s="65"/>
    </row>
    <row r="6" spans="1:14" ht="30.75" customHeight="1" x14ac:dyDescent="0.25">
      <c r="A6" s="498" t="s">
        <v>66</v>
      </c>
      <c r="B6" s="59" t="s">
        <v>72</v>
      </c>
      <c r="C6" s="198" t="s">
        <v>428</v>
      </c>
      <c r="D6" s="208">
        <v>43277</v>
      </c>
      <c r="E6" s="58" t="s">
        <v>371</v>
      </c>
      <c r="F6" s="73"/>
    </row>
    <row r="7" spans="1:14" ht="30.75" customHeight="1" x14ac:dyDescent="0.25">
      <c r="A7" s="498"/>
      <c r="B7" s="59" t="s">
        <v>67</v>
      </c>
      <c r="C7" s="198" t="s">
        <v>430</v>
      </c>
      <c r="D7" s="208">
        <v>44043</v>
      </c>
      <c r="E7" s="58" t="s">
        <v>371</v>
      </c>
      <c r="F7" s="73"/>
    </row>
    <row r="8" spans="1:14" ht="30.75" customHeight="1" x14ac:dyDescent="0.25">
      <c r="A8" s="498"/>
      <c r="B8" s="59" t="s">
        <v>68</v>
      </c>
      <c r="C8" s="198" t="s">
        <v>590</v>
      </c>
      <c r="D8" s="208">
        <v>44579</v>
      </c>
      <c r="E8" s="58" t="s">
        <v>371</v>
      </c>
      <c r="F8" s="73"/>
    </row>
    <row r="9" spans="1:14" ht="16.5" x14ac:dyDescent="0.25">
      <c r="A9" s="498"/>
      <c r="B9" s="59" t="s">
        <v>70</v>
      </c>
      <c r="C9" s="199" t="s">
        <v>429</v>
      </c>
      <c r="D9" s="208">
        <v>44182</v>
      </c>
      <c r="E9" s="58" t="s">
        <v>371</v>
      </c>
      <c r="F9" s="73"/>
    </row>
    <row r="10" spans="1:14" ht="33" x14ac:dyDescent="0.25">
      <c r="A10" s="498"/>
      <c r="B10" s="59" t="s">
        <v>71</v>
      </c>
      <c r="C10" s="199" t="s">
        <v>430</v>
      </c>
      <c r="D10" s="208">
        <v>44043</v>
      </c>
      <c r="E10" s="58" t="s">
        <v>371</v>
      </c>
      <c r="F10" s="73"/>
    </row>
    <row r="11" spans="1:14" ht="30.75" customHeight="1" x14ac:dyDescent="0.25">
      <c r="A11" s="498"/>
      <c r="B11" s="59" t="s">
        <v>69</v>
      </c>
      <c r="C11" s="199" t="s">
        <v>496</v>
      </c>
      <c r="D11" s="58" t="s">
        <v>497</v>
      </c>
      <c r="E11" s="58" t="s">
        <v>371</v>
      </c>
      <c r="F11" s="73"/>
    </row>
    <row r="12" spans="1:14" ht="30.75" customHeight="1" x14ac:dyDescent="0.25">
      <c r="A12" s="498"/>
      <c r="B12" s="59" t="s">
        <v>84</v>
      </c>
      <c r="C12" s="199" t="s">
        <v>589</v>
      </c>
      <c r="D12" s="208">
        <v>44491</v>
      </c>
      <c r="E12" s="58" t="s">
        <v>371</v>
      </c>
      <c r="F12" s="73"/>
    </row>
    <row r="13" spans="1:14" ht="30.75" customHeight="1" x14ac:dyDescent="0.25">
      <c r="A13" s="498"/>
      <c r="B13" s="59" t="s">
        <v>73</v>
      </c>
      <c r="C13" s="198" t="s">
        <v>431</v>
      </c>
      <c r="D13" s="214">
        <v>44880</v>
      </c>
      <c r="E13" s="58" t="s">
        <v>371</v>
      </c>
      <c r="F13" s="73"/>
    </row>
    <row r="14" spans="1:14" ht="30.75" customHeight="1" x14ac:dyDescent="0.25">
      <c r="A14" s="498"/>
      <c r="B14" s="59" t="s">
        <v>236</v>
      </c>
      <c r="C14" s="198" t="s">
        <v>625</v>
      </c>
      <c r="D14" s="208">
        <v>44553</v>
      </c>
      <c r="E14" s="58" t="s">
        <v>371</v>
      </c>
      <c r="F14" s="73"/>
    </row>
    <row r="15" spans="1:14" ht="30.75" customHeight="1" x14ac:dyDescent="0.25">
      <c r="A15" s="498"/>
      <c r="B15" s="59" t="s">
        <v>85</v>
      </c>
      <c r="C15" s="199" t="s">
        <v>432</v>
      </c>
      <c r="D15" s="212">
        <v>2022</v>
      </c>
      <c r="E15" s="58" t="s">
        <v>371</v>
      </c>
      <c r="F15" s="73"/>
    </row>
    <row r="16" spans="1:14" ht="30" x14ac:dyDescent="0.25">
      <c r="A16" s="498"/>
      <c r="B16" s="59" t="s">
        <v>93</v>
      </c>
      <c r="C16" s="199" t="s">
        <v>588</v>
      </c>
      <c r="D16" s="212">
        <v>2022</v>
      </c>
      <c r="E16" s="58" t="s">
        <v>371</v>
      </c>
      <c r="F16" s="73"/>
    </row>
    <row r="17" spans="1:6" ht="37.5" customHeight="1" x14ac:dyDescent="0.3">
      <c r="A17" s="496" t="s">
        <v>74</v>
      </c>
      <c r="B17" s="62" t="s">
        <v>75</v>
      </c>
      <c r="C17" s="199" t="s">
        <v>587</v>
      </c>
      <c r="D17" s="212">
        <v>2022</v>
      </c>
      <c r="E17" s="58" t="s">
        <v>371</v>
      </c>
      <c r="F17" s="74"/>
    </row>
    <row r="18" spans="1:6" ht="37.5" customHeight="1" x14ac:dyDescent="0.3">
      <c r="A18" s="496"/>
      <c r="B18" s="62" t="s">
        <v>76</v>
      </c>
      <c r="C18" s="199" t="s">
        <v>433</v>
      </c>
      <c r="D18" s="212">
        <v>2022</v>
      </c>
      <c r="E18" s="58" t="s">
        <v>371</v>
      </c>
      <c r="F18" s="74"/>
    </row>
    <row r="19" spans="1:6" ht="37.5" customHeight="1" x14ac:dyDescent="0.3">
      <c r="A19" s="496"/>
      <c r="B19" s="62" t="s">
        <v>77</v>
      </c>
      <c r="C19" s="199" t="s">
        <v>435</v>
      </c>
      <c r="D19" s="214">
        <v>42664</v>
      </c>
      <c r="E19" s="58" t="s">
        <v>371</v>
      </c>
      <c r="F19" s="74"/>
    </row>
    <row r="20" spans="1:6" ht="37.5" customHeight="1" x14ac:dyDescent="0.3">
      <c r="A20" s="496"/>
      <c r="B20" s="62" t="s">
        <v>78</v>
      </c>
      <c r="C20" s="213" t="s">
        <v>434</v>
      </c>
      <c r="D20" s="214">
        <v>42664</v>
      </c>
      <c r="E20" s="58" t="s">
        <v>372</v>
      </c>
      <c r="F20" s="74"/>
    </row>
    <row r="21" spans="1:6" ht="37.5" customHeight="1" x14ac:dyDescent="0.3">
      <c r="A21" s="496"/>
      <c r="B21" s="62" t="s">
        <v>79</v>
      </c>
      <c r="C21" s="199" t="s">
        <v>436</v>
      </c>
      <c r="D21" s="212"/>
      <c r="E21" s="58" t="s">
        <v>12</v>
      </c>
      <c r="F21" s="74"/>
    </row>
    <row r="22" spans="1:6" ht="37.5" customHeight="1" x14ac:dyDescent="0.3">
      <c r="A22" s="496"/>
      <c r="B22" s="62" t="s">
        <v>102</v>
      </c>
      <c r="C22" s="198" t="s">
        <v>431</v>
      </c>
      <c r="D22" s="214">
        <v>44880</v>
      </c>
      <c r="E22" s="58" t="s">
        <v>371</v>
      </c>
      <c r="F22" s="74"/>
    </row>
    <row r="23" spans="1:6" ht="16.5" x14ac:dyDescent="0.3">
      <c r="A23" s="496"/>
      <c r="B23" s="62" t="s">
        <v>80</v>
      </c>
      <c r="C23" s="199" t="s">
        <v>586</v>
      </c>
      <c r="D23" s="214">
        <v>44887</v>
      </c>
      <c r="E23" s="58" t="s">
        <v>371</v>
      </c>
      <c r="F23" s="74"/>
    </row>
    <row r="24" spans="1:6" ht="37.5" customHeight="1" x14ac:dyDescent="0.3">
      <c r="A24" s="496"/>
      <c r="B24" s="59" t="s">
        <v>81</v>
      </c>
      <c r="C24" s="290" t="s">
        <v>506</v>
      </c>
      <c r="D24" s="212">
        <v>2022</v>
      </c>
      <c r="E24" s="58" t="s">
        <v>371</v>
      </c>
      <c r="F24" s="74"/>
    </row>
    <row r="25" spans="1:6" ht="37.5" customHeight="1" x14ac:dyDescent="0.3">
      <c r="A25" s="496"/>
      <c r="B25" s="59" t="s">
        <v>82</v>
      </c>
      <c r="C25" s="199" t="s">
        <v>437</v>
      </c>
      <c r="D25" s="212">
        <v>2022</v>
      </c>
      <c r="E25" s="58" t="s">
        <v>371</v>
      </c>
      <c r="F25" s="74"/>
    </row>
    <row r="26" spans="1:6" ht="37.5" customHeight="1" x14ac:dyDescent="0.3">
      <c r="A26" s="496"/>
      <c r="B26" s="59" t="s">
        <v>83</v>
      </c>
      <c r="C26" s="199" t="s">
        <v>584</v>
      </c>
      <c r="D26" s="212">
        <v>2022</v>
      </c>
      <c r="E26" s="58" t="s">
        <v>371</v>
      </c>
      <c r="F26" s="74"/>
    </row>
    <row r="27" spans="1:6" ht="37.5" customHeight="1" x14ac:dyDescent="0.3">
      <c r="A27" s="496"/>
      <c r="B27" s="59" t="s">
        <v>86</v>
      </c>
      <c r="C27" s="199" t="s">
        <v>585</v>
      </c>
      <c r="D27" s="214">
        <v>44865</v>
      </c>
      <c r="E27" s="58" t="s">
        <v>371</v>
      </c>
      <c r="F27" s="74"/>
    </row>
    <row r="28" spans="1:6" ht="16.5" x14ac:dyDescent="0.3">
      <c r="A28" s="499" t="s">
        <v>90</v>
      </c>
      <c r="B28" s="59" t="s">
        <v>91</v>
      </c>
      <c r="C28" s="199" t="s">
        <v>438</v>
      </c>
      <c r="D28" s="214">
        <v>44476</v>
      </c>
      <c r="E28" s="58" t="s">
        <v>371</v>
      </c>
      <c r="F28" s="74"/>
    </row>
    <row r="29" spans="1:6" ht="37.5" customHeight="1" x14ac:dyDescent="0.3">
      <c r="A29" s="500"/>
      <c r="B29" s="59" t="s">
        <v>92</v>
      </c>
      <c r="C29" s="199" t="s">
        <v>439</v>
      </c>
      <c r="D29" s="214">
        <v>44869</v>
      </c>
      <c r="E29" s="58" t="s">
        <v>371</v>
      </c>
      <c r="F29" s="74"/>
    </row>
    <row r="30" spans="1:6" ht="37.5" customHeight="1" x14ac:dyDescent="0.3">
      <c r="A30" s="500"/>
      <c r="B30" s="59" t="s">
        <v>94</v>
      </c>
      <c r="C30" s="199" t="s">
        <v>439</v>
      </c>
      <c r="D30" s="214">
        <v>44869</v>
      </c>
      <c r="E30" s="58" t="s">
        <v>371</v>
      </c>
      <c r="F30" s="74"/>
    </row>
    <row r="31" spans="1:6" ht="30" x14ac:dyDescent="0.3">
      <c r="A31" s="500"/>
      <c r="B31" s="59" t="s">
        <v>95</v>
      </c>
      <c r="C31" s="199" t="s">
        <v>440</v>
      </c>
      <c r="D31" s="214">
        <v>44901</v>
      </c>
      <c r="E31" s="58" t="s">
        <v>371</v>
      </c>
      <c r="F31" s="74"/>
    </row>
    <row r="32" spans="1:6" ht="37.5" customHeight="1" x14ac:dyDescent="0.3">
      <c r="A32" s="501"/>
      <c r="B32" s="59" t="s">
        <v>98</v>
      </c>
      <c r="C32" s="199" t="s">
        <v>370</v>
      </c>
      <c r="D32" s="212"/>
      <c r="E32" s="58"/>
      <c r="F32" s="74"/>
    </row>
    <row r="33" spans="1:6" ht="43.5" customHeight="1" x14ac:dyDescent="0.3">
      <c r="A33" s="496" t="s">
        <v>87</v>
      </c>
      <c r="B33" s="59" t="s">
        <v>100</v>
      </c>
      <c r="C33" s="199" t="s">
        <v>441</v>
      </c>
      <c r="D33" s="214">
        <v>43984</v>
      </c>
      <c r="E33" s="58" t="s">
        <v>371</v>
      </c>
      <c r="F33" s="74"/>
    </row>
    <row r="34" spans="1:6" ht="33" x14ac:dyDescent="0.3">
      <c r="A34" s="496"/>
      <c r="B34" s="59" t="s">
        <v>88</v>
      </c>
      <c r="C34" s="199" t="s">
        <v>442</v>
      </c>
      <c r="D34" s="214">
        <v>44179</v>
      </c>
      <c r="E34" s="58" t="s">
        <v>371</v>
      </c>
      <c r="F34" s="74"/>
    </row>
    <row r="35" spans="1:6" ht="43.5" customHeight="1" x14ac:dyDescent="0.3">
      <c r="A35" s="496"/>
      <c r="B35" s="59" t="s">
        <v>89</v>
      </c>
      <c r="C35" s="199" t="s">
        <v>443</v>
      </c>
      <c r="D35" s="214">
        <v>44152</v>
      </c>
      <c r="E35" s="58" t="s">
        <v>371</v>
      </c>
      <c r="F35" s="74"/>
    </row>
    <row r="36" spans="1:6" ht="43.5" customHeight="1" x14ac:dyDescent="0.3">
      <c r="A36" s="496"/>
      <c r="B36" s="59" t="s">
        <v>96</v>
      </c>
      <c r="C36" s="199" t="s">
        <v>370</v>
      </c>
      <c r="D36" s="212"/>
      <c r="E36" s="58"/>
      <c r="F36" s="74"/>
    </row>
    <row r="37" spans="1:6" ht="43.5" customHeight="1" x14ac:dyDescent="0.3">
      <c r="A37" s="496"/>
      <c r="B37" s="59" t="s">
        <v>99</v>
      </c>
      <c r="C37" s="199"/>
      <c r="D37" s="212"/>
      <c r="E37" s="58"/>
      <c r="F37" s="74" t="s">
        <v>508</v>
      </c>
    </row>
    <row r="38" spans="1:6" ht="33" x14ac:dyDescent="0.3">
      <c r="A38" s="496"/>
      <c r="B38" s="59" t="s">
        <v>126</v>
      </c>
      <c r="C38" s="199" t="s">
        <v>583</v>
      </c>
      <c r="D38" s="214">
        <v>43159</v>
      </c>
      <c r="E38" s="58" t="s">
        <v>371</v>
      </c>
      <c r="F38" s="74"/>
    </row>
    <row r="39" spans="1:6" ht="46.5" thickBot="1" x14ac:dyDescent="0.35">
      <c r="A39" s="497"/>
      <c r="B39" s="75" t="s">
        <v>127</v>
      </c>
      <c r="C39" s="215" t="s">
        <v>444</v>
      </c>
      <c r="D39" s="216">
        <v>43827</v>
      </c>
      <c r="E39" s="200" t="s">
        <v>371</v>
      </c>
      <c r="F39" s="76"/>
    </row>
    <row r="40" spans="1:6" ht="16.5" x14ac:dyDescent="0.3">
      <c r="A40" s="166"/>
      <c r="B40" s="166"/>
      <c r="C40" s="166"/>
      <c r="D40" s="210"/>
      <c r="E40" s="166"/>
      <c r="F40" s="166"/>
    </row>
    <row r="41" spans="1:6" ht="16.5" x14ac:dyDescent="0.3">
      <c r="A41" s="166"/>
      <c r="B41" s="166"/>
      <c r="C41" s="166"/>
      <c r="D41" s="210"/>
      <c r="E41" s="166"/>
      <c r="F41" s="166"/>
    </row>
    <row r="42" spans="1:6" ht="16.5" x14ac:dyDescent="0.3">
      <c r="A42" s="94"/>
      <c r="B42" s="94"/>
      <c r="C42" s="94"/>
      <c r="D42" s="211"/>
      <c r="E42" s="94"/>
      <c r="F42" s="94"/>
    </row>
    <row r="43" spans="1:6" ht="16.5" x14ac:dyDescent="0.3">
      <c r="A43" s="94"/>
      <c r="B43" s="94"/>
      <c r="C43" s="94"/>
      <c r="D43" s="211"/>
      <c r="E43" s="94"/>
      <c r="F43" s="94"/>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dataValidation allowBlank="1" showInputMessage="1" showErrorMessage="1" prompt="Registre la fecha de vigencia del soporte relacionado. Cuando sean distintos documentos y fechas en el ítem como procesos. relacione donde se encuentra el registro de actualziaciones." sqref="D5"/>
    <dataValidation allowBlank="1" showInputMessage="1" showErrorMessage="1" prompt="Registre SI, si tiene acceso al documento, NO cuando exista alguna limitación en su acceso, indicando en las Notas del equipo Auditor la observación._x000a_" sqref="E5"/>
    <dataValidation allowBlank="1" showInputMessage="1" showErrorMessage="1" prompt="Registre notas de relevancia de orientación sobre la información. Ej: Version desactualizada, No se presentó auditoría regular en la última vigencia, etc." sqref="F5"/>
  </dataValidations>
  <hyperlinks>
    <hyperlink ref="C6" r:id="rId1"/>
    <hyperlink ref="C9" r:id="rId2"/>
    <hyperlink ref="C15" r:id="rId3"/>
    <hyperlink ref="C18" r:id="rId4"/>
    <hyperlink ref="C28" r:id="rId5"/>
    <hyperlink ref="C29" r:id="rId6"/>
    <hyperlink ref="C31" r:id="rId7"/>
    <hyperlink ref="C35" r:id="rId8"/>
    <hyperlink ref="C39" r:id="rId9"/>
    <hyperlink ref="C24" r:id="rId10"/>
    <hyperlink ref="C38" r:id="rId11"/>
    <hyperlink ref="C30" r:id="rId12"/>
    <hyperlink ref="C22" r:id="rId13"/>
    <hyperlink ref="C20" r:id="rId14"/>
    <hyperlink ref="C17" r:id="rId15"/>
    <hyperlink ref="C16" r:id="rId16"/>
    <hyperlink ref="C10" r:id="rId17"/>
  </hyperlinks>
  <pageMargins left="0.7" right="0.7" top="0.75" bottom="0.75" header="0.3" footer="0.3"/>
  <pageSetup orientation="portrait" horizontalDpi="4294967292" r:id="rId18"/>
  <drawing r:id="rId1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01"/>
  <sheetViews>
    <sheetView topLeftCell="A13" zoomScale="70" zoomScaleNormal="70" workbookViewId="0">
      <selection activeCell="U18" sqref="U18"/>
    </sheetView>
  </sheetViews>
  <sheetFormatPr baseColWidth="10" defaultColWidth="14.42578125" defaultRowHeight="15" customHeight="1" x14ac:dyDescent="0.3"/>
  <cols>
    <col min="1" max="1" width="4.5703125" style="172" customWidth="1"/>
    <col min="2" max="2" width="48.7109375" style="172" customWidth="1"/>
    <col min="3" max="7" width="10.7109375" style="172" customWidth="1"/>
    <col min="8" max="8" width="11.5703125" style="172" customWidth="1"/>
    <col min="9" max="9" width="14.140625" style="172" customWidth="1"/>
    <col min="10" max="10" width="22" style="172" customWidth="1"/>
    <col min="11" max="12" width="9.7109375" style="172" bestFit="1" customWidth="1"/>
    <col min="13" max="13" width="13" style="172" customWidth="1"/>
    <col min="14" max="14" width="10.85546875" style="172" customWidth="1"/>
    <col min="15" max="16" width="10.7109375" style="172" customWidth="1"/>
    <col min="17" max="17" width="16.28515625" style="172" customWidth="1"/>
    <col min="18" max="18" width="16.140625" style="172" customWidth="1"/>
    <col min="19" max="19" width="10.7109375" style="172" customWidth="1"/>
    <col min="20" max="21" width="32.140625" style="172" customWidth="1"/>
    <col min="22" max="24" width="14.42578125" style="172"/>
    <col min="25" max="25" width="39" style="172" customWidth="1"/>
    <col min="26" max="16384" width="14.42578125" style="172"/>
  </cols>
  <sheetData>
    <row r="1" spans="2:28" ht="15" customHeight="1" thickBot="1" x14ac:dyDescent="0.35"/>
    <row r="2" spans="2:28" ht="16.5" x14ac:dyDescent="0.3">
      <c r="B2" s="529"/>
      <c r="C2" s="532" t="s">
        <v>353</v>
      </c>
      <c r="D2" s="533"/>
      <c r="E2" s="533"/>
      <c r="F2" s="533"/>
      <c r="G2" s="533"/>
      <c r="H2" s="533"/>
      <c r="I2" s="533"/>
      <c r="J2" s="533"/>
      <c r="K2" s="533"/>
      <c r="L2" s="533"/>
      <c r="M2" s="533"/>
      <c r="N2" s="533"/>
      <c r="O2" s="533"/>
      <c r="P2" s="533"/>
      <c r="Q2" s="534"/>
      <c r="R2" s="539"/>
      <c r="S2" s="540"/>
      <c r="T2" s="541"/>
    </row>
    <row r="3" spans="2:28" ht="16.5" x14ac:dyDescent="0.3">
      <c r="B3" s="530"/>
      <c r="C3" s="535"/>
      <c r="D3" s="536"/>
      <c r="E3" s="536"/>
      <c r="F3" s="536"/>
      <c r="G3" s="536"/>
      <c r="H3" s="536"/>
      <c r="I3" s="536"/>
      <c r="J3" s="536"/>
      <c r="K3" s="536"/>
      <c r="L3" s="536"/>
      <c r="M3" s="536"/>
      <c r="N3" s="536"/>
      <c r="O3" s="536"/>
      <c r="P3" s="536"/>
      <c r="Q3" s="537"/>
      <c r="R3" s="544"/>
      <c r="S3" s="545"/>
      <c r="T3" s="542"/>
    </row>
    <row r="4" spans="2:28" ht="16.5" x14ac:dyDescent="0.3">
      <c r="B4" s="530"/>
      <c r="C4" s="535"/>
      <c r="D4" s="536"/>
      <c r="E4" s="536"/>
      <c r="F4" s="536"/>
      <c r="G4" s="536"/>
      <c r="H4" s="536"/>
      <c r="I4" s="536"/>
      <c r="J4" s="536"/>
      <c r="K4" s="536"/>
      <c r="L4" s="536"/>
      <c r="M4" s="536"/>
      <c r="N4" s="536"/>
      <c r="O4" s="536"/>
      <c r="P4" s="536"/>
      <c r="Q4" s="537"/>
      <c r="R4" s="544"/>
      <c r="S4" s="545"/>
      <c r="T4" s="542"/>
    </row>
    <row r="5" spans="2:28" ht="17.25" thickBot="1" x14ac:dyDescent="0.35">
      <c r="B5" s="531"/>
      <c r="C5" s="535"/>
      <c r="D5" s="525"/>
      <c r="E5" s="524"/>
      <c r="F5" s="524"/>
      <c r="G5" s="524"/>
      <c r="H5" s="524"/>
      <c r="I5" s="524"/>
      <c r="J5" s="524"/>
      <c r="K5" s="524"/>
      <c r="L5" s="524"/>
      <c r="M5" s="524"/>
      <c r="N5" s="524"/>
      <c r="O5" s="524"/>
      <c r="P5" s="524"/>
      <c r="Q5" s="538"/>
      <c r="R5" s="546"/>
      <c r="S5" s="547"/>
      <c r="T5" s="543"/>
    </row>
    <row r="6" spans="2:28" ht="17.25" thickBot="1" x14ac:dyDescent="0.35">
      <c r="B6" s="243" t="s">
        <v>11</v>
      </c>
      <c r="C6" s="527">
        <v>45291</v>
      </c>
      <c r="D6" s="528"/>
    </row>
    <row r="7" spans="2:28" ht="15" customHeight="1" thickBot="1" x14ac:dyDescent="0.35"/>
    <row r="8" spans="2:28" ht="17.25" thickBot="1" x14ac:dyDescent="0.35">
      <c r="B8" s="173">
        <v>1</v>
      </c>
      <c r="C8" s="508">
        <v>2</v>
      </c>
      <c r="D8" s="509"/>
      <c r="E8" s="509"/>
      <c r="F8" s="509"/>
      <c r="G8" s="509"/>
      <c r="H8" s="509"/>
      <c r="I8" s="509"/>
      <c r="J8" s="510"/>
      <c r="K8" s="186"/>
      <c r="L8" s="186"/>
      <c r="M8" s="515">
        <v>3</v>
      </c>
      <c r="N8" s="516"/>
      <c r="O8" s="515">
        <v>4</v>
      </c>
      <c r="P8" s="516"/>
      <c r="Q8" s="515">
        <v>5</v>
      </c>
      <c r="R8" s="517"/>
      <c r="S8" s="517"/>
      <c r="T8" s="506">
        <v>6</v>
      </c>
      <c r="U8" s="507"/>
    </row>
    <row r="9" spans="2:28" ht="47.25" customHeight="1" thickBot="1" x14ac:dyDescent="0.35">
      <c r="B9" s="522" t="s">
        <v>352</v>
      </c>
      <c r="C9" s="523" t="s">
        <v>0</v>
      </c>
      <c r="D9" s="524"/>
      <c r="E9" s="524"/>
      <c r="F9" s="524"/>
      <c r="G9" s="524"/>
      <c r="H9" s="520" t="s">
        <v>6</v>
      </c>
      <c r="I9" s="525"/>
      <c r="J9" s="502" t="s">
        <v>282</v>
      </c>
      <c r="K9" s="511"/>
      <c r="L9" s="503"/>
      <c r="M9" s="513" t="s">
        <v>7</v>
      </c>
      <c r="N9" s="526"/>
      <c r="O9" s="520" t="s">
        <v>8</v>
      </c>
      <c r="P9" s="526"/>
      <c r="Q9" s="518" t="s">
        <v>9</v>
      </c>
      <c r="R9" s="518" t="s">
        <v>10</v>
      </c>
      <c r="S9" s="520" t="s">
        <v>13</v>
      </c>
      <c r="T9" s="502" t="s">
        <v>14</v>
      </c>
      <c r="U9" s="503"/>
    </row>
    <row r="10" spans="2:28" ht="47.25" customHeight="1" thickBot="1" x14ac:dyDescent="0.35">
      <c r="B10" s="519"/>
      <c r="C10" s="225" t="s">
        <v>1</v>
      </c>
      <c r="D10" s="226" t="s">
        <v>2</v>
      </c>
      <c r="E10" s="227" t="s">
        <v>3</v>
      </c>
      <c r="F10" s="228" t="s">
        <v>4</v>
      </c>
      <c r="G10" s="229" t="s">
        <v>5</v>
      </c>
      <c r="H10" s="521"/>
      <c r="I10" s="525"/>
      <c r="J10" s="512"/>
      <c r="K10" s="513"/>
      <c r="L10" s="514"/>
      <c r="M10" s="525"/>
      <c r="N10" s="526"/>
      <c r="O10" s="521"/>
      <c r="P10" s="526"/>
      <c r="Q10" s="519"/>
      <c r="R10" s="519"/>
      <c r="S10" s="521"/>
      <c r="T10" s="504"/>
      <c r="U10" s="505"/>
    </row>
    <row r="11" spans="2:28" ht="51.75" customHeight="1" thickBot="1" x14ac:dyDescent="0.35">
      <c r="B11" s="283" t="str">
        <f>+'PAA OCI  '!B20</f>
        <v>Alcaldía los Mártires - Avance Obra - Cumplimiento cronogramas y ejecución presupuestal</v>
      </c>
      <c r="C11" s="230">
        <f>+'ANALISIS OCI'!X9</f>
        <v>1</v>
      </c>
      <c r="D11" s="231">
        <f>+'ANALISIS OCI'!Y9</f>
        <v>0</v>
      </c>
      <c r="E11" s="231">
        <f>+'ANALISIS OCI'!Z9</f>
        <v>1</v>
      </c>
      <c r="F11" s="231">
        <f>+'ANALISIS OCI'!AA9</f>
        <v>2</v>
      </c>
      <c r="G11" s="232">
        <f>SUM(C11:F11)</f>
        <v>4</v>
      </c>
      <c r="H11" s="220" t="str">
        <f>IF(G11=0,0,IF(($C11/$G11)&gt;=0.2,"Extremo",+IF((($C11/G11)+($D11/$G11))&gt;=0.3,"Alto",+IF((($C11/$G11)+($D11/$G11)+($E11/$G11))&gt;=0.4,"Moderado",+IF(($C11/$G11)+($D11/$G11)+($E11/$G11)+($F11/$G11)&gt;=0.5,"Bajo",IF(G11=0,0))))))</f>
        <v>Extremo</v>
      </c>
      <c r="I11" s="221">
        <f t="shared" ref="I11:I48" si="0">(IF(H11="Extremo",50%,(IF(H11="Alto",40%,IF(H11="Moderado",15%,IF(H11="Bajo",10%,0))))))</f>
        <v>0.5</v>
      </c>
      <c r="J11" s="217" t="str">
        <f>'ANALISIS OCI'!AC9</f>
        <v>Extremo</v>
      </c>
      <c r="K11" s="218">
        <f>(IF(J11="Extremo",50%,(IF(J11="Alto",40%,IF(J11="Moderado",15%,IF(J11="Bajo",10%,0))))))</f>
        <v>0.5</v>
      </c>
      <c r="L11" s="219">
        <f>IF(I11=0,K11,I11)</f>
        <v>0.5</v>
      </c>
      <c r="M11" s="233" t="s">
        <v>12</v>
      </c>
      <c r="N11" s="234">
        <f t="shared" ref="N11:N48" si="1">IF(M11="Si",100%,IF(M11="No",0,0))</f>
        <v>0</v>
      </c>
      <c r="O11" s="235" t="s">
        <v>12</v>
      </c>
      <c r="P11" s="236">
        <f t="shared" ref="P11:P48" si="2">IF(O11="Si",20%,IF(O11="No",0,0))</f>
        <v>0</v>
      </c>
      <c r="Q11" s="222"/>
      <c r="R11" s="223">
        <f>+$C$6-Q11</f>
        <v>45291</v>
      </c>
      <c r="S11" s="237">
        <f t="shared" ref="S11:S48" si="3">IF(R11&gt;=1080,30%,IF(R11&gt;=720,20%,IF(R11&gt;=360,10%,IF(R11&lt;=359,0%,0))))</f>
        <v>0.3</v>
      </c>
      <c r="T11" s="224">
        <f>IF(N11=100%,100%,(L11+P11+S11))</f>
        <v>0.8</v>
      </c>
      <c r="U11" s="187" t="str">
        <f>+IF(T11&gt;=85%,$AB$12,IF(AND( T11&gt;65%,T11&lt;85%),$AB$13,$AB$14))</f>
        <v xml:space="preserve">Incluir en el ciclo vigente de acuerdo a disponibilidad de recursos </v>
      </c>
    </row>
    <row r="12" spans="2:28" ht="50.25" thickBot="1" x14ac:dyDescent="0.35">
      <c r="B12" s="283" t="str">
        <f>+'PAA OCI  '!B21</f>
        <v>Bronx Distrito Creativo  - Avance Obra - Cumplimiento cronogramas y ejecución presupuestal</v>
      </c>
      <c r="C12" s="230">
        <f>+'ANALISIS OCI'!X10</f>
        <v>1</v>
      </c>
      <c r="D12" s="231">
        <f>+'ANALISIS OCI'!Y10</f>
        <v>0</v>
      </c>
      <c r="E12" s="231">
        <f>+'ANALISIS OCI'!Z10</f>
        <v>1</v>
      </c>
      <c r="F12" s="231">
        <f>+'ANALISIS OCI'!AA10</f>
        <v>2</v>
      </c>
      <c r="G12" s="232">
        <f t="shared" ref="G12:G48" si="4">SUM(C12:F12)</f>
        <v>4</v>
      </c>
      <c r="H12" s="220" t="str">
        <f t="shared" ref="H12:H48" si="5">IF(G12=0,0,IF(($C12/$G12)&gt;=0.2,"Extremo",+IF((($C12/G12)+($D12/$G12))&gt;=0.3,"Alto",+IF((($C12/$G12)+($D12/$G12)+($E12/$G12))&gt;=0.4,"Moderado",+IF(($C12/$G12)+($D12/$G12)+($E12/$G12)+($F12/$G12)&gt;=0.5,"Bajo",IF(G12=0,0))))))</f>
        <v>Extremo</v>
      </c>
      <c r="I12" s="221">
        <f t="shared" si="0"/>
        <v>0.5</v>
      </c>
      <c r="J12" s="217" t="str">
        <f>'ANALISIS OCI'!AC10</f>
        <v>Extremo</v>
      </c>
      <c r="K12" s="218">
        <f>(IF(J12="Extremo",50%,(IF(J12="Alto",40%,IF(J12="Moderado",15%,IF(J12="Bajo",10%,0))))))</f>
        <v>0.5</v>
      </c>
      <c r="L12" s="219">
        <f t="shared" ref="L12:L78" si="6">IF(I12=0,K12,I12)</f>
        <v>0.5</v>
      </c>
      <c r="M12" s="233" t="s">
        <v>12</v>
      </c>
      <c r="N12" s="234">
        <f t="shared" si="1"/>
        <v>0</v>
      </c>
      <c r="O12" s="235" t="s">
        <v>12</v>
      </c>
      <c r="P12" s="236">
        <f t="shared" si="2"/>
        <v>0</v>
      </c>
      <c r="Q12" s="222"/>
      <c r="R12" s="223">
        <f>+$C$6-Q12</f>
        <v>45291</v>
      </c>
      <c r="S12" s="237">
        <f t="shared" si="3"/>
        <v>0.3</v>
      </c>
      <c r="T12" s="205">
        <f t="shared" ref="T12:T48" si="7">IF(N12=100%,100%,(L12+P12+S12))</f>
        <v>0.8</v>
      </c>
      <c r="U12" s="187" t="str">
        <f t="shared" ref="U12:U78" si="8">+IF(T12&gt;=85%,$AB$12,IF(AND( T12&gt;65%,T12&lt;85%),$AB$13,$AB$14))</f>
        <v xml:space="preserve">Incluir en el ciclo vigente de acuerdo a disponibilidad de recursos </v>
      </c>
      <c r="AB12" s="172" t="s">
        <v>305</v>
      </c>
    </row>
    <row r="13" spans="2:28" ht="50.25" thickBot="1" x14ac:dyDescent="0.35">
      <c r="B13" s="283" t="str">
        <f>+'PAA OCI  '!B22</f>
        <v>Centro de Formación para el trabajo (SENA)  - Avance Obra - Cumplimiento cronogramas y ejecución presupuestal</v>
      </c>
      <c r="C13" s="230">
        <f>+'ANALISIS OCI'!X11</f>
        <v>1</v>
      </c>
      <c r="D13" s="231">
        <f>+'ANALISIS OCI'!Y11</f>
        <v>0</v>
      </c>
      <c r="E13" s="231">
        <f>+'ANALISIS OCI'!Z11</f>
        <v>1</v>
      </c>
      <c r="F13" s="231">
        <f>+'ANALISIS OCI'!AA11</f>
        <v>2</v>
      </c>
      <c r="G13" s="232">
        <f t="shared" si="4"/>
        <v>4</v>
      </c>
      <c r="H13" s="220" t="str">
        <f t="shared" si="5"/>
        <v>Extremo</v>
      </c>
      <c r="I13" s="221">
        <f t="shared" si="0"/>
        <v>0.5</v>
      </c>
      <c r="J13" s="217" t="str">
        <f>'ANALISIS OCI'!AC11</f>
        <v>Extremo</v>
      </c>
      <c r="K13" s="218">
        <f t="shared" ref="K13:K79" si="9">(IF(J13="Extremo",50%,(IF(J13="Alto",40%,IF(J13="Moderado",15%,IF(J13="Bajo",10%,0))))))</f>
        <v>0.5</v>
      </c>
      <c r="L13" s="219">
        <f t="shared" si="6"/>
        <v>0.5</v>
      </c>
      <c r="M13" s="233" t="s">
        <v>12</v>
      </c>
      <c r="N13" s="234">
        <f t="shared" si="1"/>
        <v>0</v>
      </c>
      <c r="O13" s="235" t="s">
        <v>12</v>
      </c>
      <c r="P13" s="236">
        <f t="shared" si="2"/>
        <v>0</v>
      </c>
      <c r="Q13" s="222"/>
      <c r="R13" s="223">
        <f t="shared" ref="R13:R48" si="10">+$C$6-Q13</f>
        <v>45291</v>
      </c>
      <c r="S13" s="237">
        <f t="shared" si="3"/>
        <v>0.3</v>
      </c>
      <c r="T13" s="205">
        <f t="shared" si="7"/>
        <v>0.8</v>
      </c>
      <c r="U13" s="187" t="str">
        <f t="shared" si="8"/>
        <v xml:space="preserve">Incluir en el ciclo vigente de acuerdo a disponibilidad de recursos </v>
      </c>
      <c r="AB13" s="172" t="s">
        <v>306</v>
      </c>
    </row>
    <row r="14" spans="2:28" ht="51.75" customHeight="1" thickBot="1" x14ac:dyDescent="0.35">
      <c r="B14" s="283" t="str">
        <f>+'PAA OCI  '!B23</f>
        <v>Direccionamiento Estratégico y Gobierno Corporativo</v>
      </c>
      <c r="C14" s="230">
        <f>+'ANALISIS OCI'!X12</f>
        <v>0</v>
      </c>
      <c r="D14" s="231">
        <f>+'ANALISIS OCI'!Y12</f>
        <v>1</v>
      </c>
      <c r="E14" s="231">
        <f>+'ANALISIS OCI'!Z12</f>
        <v>1</v>
      </c>
      <c r="F14" s="231">
        <f>+'ANALISIS OCI'!AA12</f>
        <v>4</v>
      </c>
      <c r="G14" s="232">
        <f t="shared" si="4"/>
        <v>6</v>
      </c>
      <c r="H14" s="220" t="str">
        <f t="shared" si="5"/>
        <v>Bajo</v>
      </c>
      <c r="I14" s="221">
        <f t="shared" si="0"/>
        <v>0.1</v>
      </c>
      <c r="J14" s="217" t="str">
        <f>'ANALISIS OCI'!AC12</f>
        <v>Bajo</v>
      </c>
      <c r="K14" s="218">
        <f t="shared" si="9"/>
        <v>0.1</v>
      </c>
      <c r="L14" s="219">
        <f t="shared" si="6"/>
        <v>0.1</v>
      </c>
      <c r="M14" s="233" t="s">
        <v>371</v>
      </c>
      <c r="N14" s="234">
        <f t="shared" si="1"/>
        <v>1</v>
      </c>
      <c r="O14" s="235" t="s">
        <v>12</v>
      </c>
      <c r="P14" s="236">
        <f t="shared" si="2"/>
        <v>0</v>
      </c>
      <c r="Q14" s="222"/>
      <c r="R14" s="223">
        <f t="shared" si="10"/>
        <v>45291</v>
      </c>
      <c r="S14" s="237">
        <f t="shared" si="3"/>
        <v>0.3</v>
      </c>
      <c r="T14" s="205">
        <f t="shared" si="7"/>
        <v>1</v>
      </c>
      <c r="U14" s="187" t="str">
        <f t="shared" si="8"/>
        <v xml:space="preserve">Incluir en el ciclo de auditorías de la vigencia </v>
      </c>
      <c r="AB14" s="172" t="s">
        <v>304</v>
      </c>
    </row>
    <row r="15" spans="2:28" ht="49.5" customHeight="1" thickBot="1" x14ac:dyDescent="0.35">
      <c r="B15" s="283" t="str">
        <f>+'PAA OCI  '!B24</f>
        <v>Seguimiento Cumplimiento Norma Archivística ERU</v>
      </c>
      <c r="C15" s="230">
        <f>+'ANALISIS OCI'!X13</f>
        <v>0</v>
      </c>
      <c r="D15" s="231">
        <f>+'ANALISIS OCI'!Y13</f>
        <v>1</v>
      </c>
      <c r="E15" s="231">
        <f>+'ANALISIS OCI'!Z13</f>
        <v>1</v>
      </c>
      <c r="F15" s="231">
        <f>+'ANALISIS OCI'!AA13</f>
        <v>1</v>
      </c>
      <c r="G15" s="232">
        <f t="shared" si="4"/>
        <v>3</v>
      </c>
      <c r="H15" s="220" t="str">
        <f t="shared" si="5"/>
        <v>Alto</v>
      </c>
      <c r="I15" s="221">
        <f t="shared" si="0"/>
        <v>0.4</v>
      </c>
      <c r="J15" s="217" t="str">
        <f>'ANALISIS OCI'!AC13</f>
        <v>Alto</v>
      </c>
      <c r="K15" s="218">
        <f t="shared" si="9"/>
        <v>0.4</v>
      </c>
      <c r="L15" s="219">
        <f t="shared" si="6"/>
        <v>0.4</v>
      </c>
      <c r="M15" s="233" t="s">
        <v>12</v>
      </c>
      <c r="N15" s="234">
        <f t="shared" si="1"/>
        <v>0</v>
      </c>
      <c r="O15" s="235" t="s">
        <v>12</v>
      </c>
      <c r="P15" s="236">
        <f t="shared" si="2"/>
        <v>0</v>
      </c>
      <c r="Q15" s="222"/>
      <c r="R15" s="223">
        <f t="shared" si="10"/>
        <v>45291</v>
      </c>
      <c r="S15" s="237">
        <f t="shared" si="3"/>
        <v>0.3</v>
      </c>
      <c r="T15" s="205">
        <f t="shared" si="7"/>
        <v>0.7</v>
      </c>
      <c r="U15" s="187" t="str">
        <f t="shared" si="8"/>
        <v xml:space="preserve">Incluir en el ciclo vigente de acuerdo a disponibilidad de recursos </v>
      </c>
    </row>
    <row r="16" spans="2:28" ht="50.25" thickBot="1" x14ac:dyDescent="0.35">
      <c r="B16" s="283" t="str">
        <f>+'PAA OCI  '!B25</f>
        <v xml:space="preserve">Auditoria Gestión Suelo </v>
      </c>
      <c r="C16" s="230">
        <f>+'ANALISIS OCI'!X14</f>
        <v>1</v>
      </c>
      <c r="D16" s="231">
        <f>+'ANALISIS OCI'!Y14</f>
        <v>0</v>
      </c>
      <c r="E16" s="231">
        <f>+'ANALISIS OCI'!Z14</f>
        <v>1</v>
      </c>
      <c r="F16" s="231">
        <f>+'ANALISIS OCI'!AA14</f>
        <v>2</v>
      </c>
      <c r="G16" s="232">
        <f t="shared" si="4"/>
        <v>4</v>
      </c>
      <c r="H16" s="220" t="str">
        <f t="shared" si="5"/>
        <v>Extremo</v>
      </c>
      <c r="I16" s="221">
        <f t="shared" si="0"/>
        <v>0.5</v>
      </c>
      <c r="J16" s="217" t="str">
        <f>'ANALISIS OCI'!AC14</f>
        <v>Extremo</v>
      </c>
      <c r="K16" s="218">
        <f t="shared" si="9"/>
        <v>0.5</v>
      </c>
      <c r="L16" s="219">
        <f t="shared" si="6"/>
        <v>0.5</v>
      </c>
      <c r="M16" s="233" t="s">
        <v>12</v>
      </c>
      <c r="N16" s="234">
        <f t="shared" si="1"/>
        <v>0</v>
      </c>
      <c r="O16" s="235" t="s">
        <v>12</v>
      </c>
      <c r="P16" s="236">
        <f t="shared" si="2"/>
        <v>0</v>
      </c>
      <c r="Q16" s="222"/>
      <c r="R16" s="223">
        <f t="shared" si="10"/>
        <v>45291</v>
      </c>
      <c r="S16" s="237">
        <f t="shared" si="3"/>
        <v>0.3</v>
      </c>
      <c r="T16" s="205">
        <f t="shared" si="7"/>
        <v>0.8</v>
      </c>
      <c r="U16" s="187" t="str">
        <f t="shared" si="8"/>
        <v xml:space="preserve">Incluir en el ciclo vigente de acuerdo a disponibilidad de recursos </v>
      </c>
    </row>
    <row r="17" spans="2:21" ht="43.5" customHeight="1" thickBot="1" x14ac:dyDescent="0.35">
      <c r="B17" s="283" t="str">
        <f>+'PAA OCI  '!B26</f>
        <v xml:space="preserve">Sistema de Información Misional </v>
      </c>
      <c r="C17" s="230">
        <f>+'ANALISIS OCI'!X15</f>
        <v>0</v>
      </c>
      <c r="D17" s="231">
        <f>+'ANALISIS OCI'!Y15</f>
        <v>1</v>
      </c>
      <c r="E17" s="231">
        <f>+'ANALISIS OCI'!Z15</f>
        <v>1</v>
      </c>
      <c r="F17" s="231">
        <f>+'ANALISIS OCI'!AA15</f>
        <v>1</v>
      </c>
      <c r="G17" s="232">
        <f t="shared" si="4"/>
        <v>3</v>
      </c>
      <c r="H17" s="220" t="str">
        <f t="shared" si="5"/>
        <v>Alto</v>
      </c>
      <c r="I17" s="221">
        <f t="shared" si="0"/>
        <v>0.4</v>
      </c>
      <c r="J17" s="217" t="str">
        <f>'ANALISIS OCI'!AC15</f>
        <v>Alto</v>
      </c>
      <c r="K17" s="218">
        <f t="shared" si="9"/>
        <v>0.4</v>
      </c>
      <c r="L17" s="219">
        <f t="shared" si="6"/>
        <v>0.4</v>
      </c>
      <c r="M17" s="233" t="s">
        <v>12</v>
      </c>
      <c r="N17" s="234">
        <f t="shared" si="1"/>
        <v>0</v>
      </c>
      <c r="O17" s="235" t="s">
        <v>12</v>
      </c>
      <c r="P17" s="236">
        <f t="shared" si="2"/>
        <v>0</v>
      </c>
      <c r="Q17" s="222"/>
      <c r="R17" s="223">
        <f t="shared" si="10"/>
        <v>45291</v>
      </c>
      <c r="S17" s="237">
        <f t="shared" si="3"/>
        <v>0.3</v>
      </c>
      <c r="T17" s="205">
        <f t="shared" si="7"/>
        <v>0.7</v>
      </c>
      <c r="U17" s="187" t="str">
        <f t="shared" si="8"/>
        <v xml:space="preserve">Incluir en el ciclo vigente de acuerdo a disponibilidad de recursos </v>
      </c>
    </row>
    <row r="18" spans="2:21" ht="43.5" customHeight="1" thickBot="1" x14ac:dyDescent="0.35">
      <c r="B18" s="283" t="str">
        <f>+'PAA OCI  '!B27</f>
        <v>Contratación transversal (Incluye San Victorino y Optimización Nuevo Manual de Contratación)</v>
      </c>
      <c r="C18" s="230">
        <f>+'ANALISIS OCI'!X16</f>
        <v>1</v>
      </c>
      <c r="D18" s="231">
        <f>+'ANALISIS OCI'!Y16</f>
        <v>0</v>
      </c>
      <c r="E18" s="231">
        <f>+'ANALISIS OCI'!Z16</f>
        <v>2</v>
      </c>
      <c r="F18" s="231">
        <f>+'ANALISIS OCI'!AA16</f>
        <v>2</v>
      </c>
      <c r="G18" s="232">
        <f t="shared" ref="G18" si="11">SUM(C18:F18)</f>
        <v>5</v>
      </c>
      <c r="H18" s="220" t="str">
        <f t="shared" ref="H18" si="12">IF(G18=0,0,IF(($C18/$G18)&gt;=0.2,"Extremo",+IF((($C18/G18)+($D18/$G18))&gt;=0.3,"Alto",+IF((($C18/$G18)+($D18/$G18)+($E18/$G18))&gt;=0.4,"Moderado",+IF(($C18/$G18)+($D18/$G18)+($E18/$G18)+($F18/$G18)&gt;=0.5,"Bajo",IF(G18=0,0))))))</f>
        <v>Extremo</v>
      </c>
      <c r="I18" s="221">
        <f t="shared" si="0"/>
        <v>0.5</v>
      </c>
      <c r="J18" s="217" t="str">
        <f>'ANALISIS OCI'!AC16</f>
        <v>Extremo</v>
      </c>
      <c r="K18" s="218">
        <f t="shared" ref="K18" si="13">(IF(J18="Extremo",50%,(IF(J18="Alto",40%,IF(J18="Moderado",15%,IF(J18="Bajo",10%,0))))))</f>
        <v>0.5</v>
      </c>
      <c r="L18" s="219">
        <f t="shared" ref="L18" si="14">IF(I18=0,K18,I18)</f>
        <v>0.5</v>
      </c>
      <c r="M18" s="233" t="s">
        <v>12</v>
      </c>
      <c r="N18" s="234">
        <f t="shared" ref="N18" si="15">IF(M18="Si",100%,IF(M18="No",0,0))</f>
        <v>0</v>
      </c>
      <c r="O18" s="235" t="s">
        <v>12</v>
      </c>
      <c r="P18" s="236">
        <f t="shared" ref="P18" si="16">IF(O18="Si",20%,IF(O18="No",0,0))</f>
        <v>0</v>
      </c>
      <c r="Q18" s="222"/>
      <c r="R18" s="223">
        <f t="shared" ref="R18" si="17">+$C$6-Q18</f>
        <v>45291</v>
      </c>
      <c r="S18" s="237">
        <f t="shared" ref="S18" si="18">IF(R18&gt;=1080,30%,IF(R18&gt;=720,20%,IF(R18&gt;=360,10%,IF(R18&lt;=359,0%,0))))</f>
        <v>0.3</v>
      </c>
      <c r="T18" s="205">
        <f t="shared" ref="T18" si="19">IF(N18=100%,100%,(L18+P18+S18))</f>
        <v>0.8</v>
      </c>
      <c r="U18" s="187" t="str">
        <f t="shared" si="8"/>
        <v xml:space="preserve">Incluir en el ciclo vigente de acuerdo a disponibilidad de recursos </v>
      </c>
    </row>
    <row r="19" spans="2:21" ht="33.75" thickBot="1" x14ac:dyDescent="0.35">
      <c r="B19" s="283" t="str">
        <f>+'PAA OCI  '!B28</f>
        <v>Seguimiento Ejecución y avance de proyectos</v>
      </c>
      <c r="C19" s="230">
        <f>+'ANALISIS OCI'!X16</f>
        <v>1</v>
      </c>
      <c r="D19" s="231">
        <f>+'ANALISIS OCI'!Y16</f>
        <v>0</v>
      </c>
      <c r="E19" s="231">
        <f>+'ANALISIS OCI'!Z16</f>
        <v>2</v>
      </c>
      <c r="F19" s="231">
        <f>+'ANALISIS OCI'!AA16</f>
        <v>2</v>
      </c>
      <c r="G19" s="232">
        <f t="shared" si="4"/>
        <v>5</v>
      </c>
      <c r="H19" s="220" t="str">
        <f t="shared" si="5"/>
        <v>Extremo</v>
      </c>
      <c r="I19" s="221">
        <f t="shared" si="0"/>
        <v>0.5</v>
      </c>
      <c r="J19" s="217" t="str">
        <f>'ANALISIS OCI'!AC16</f>
        <v>Extremo</v>
      </c>
      <c r="K19" s="218">
        <f t="shared" si="9"/>
        <v>0.5</v>
      </c>
      <c r="L19" s="219">
        <f t="shared" si="6"/>
        <v>0.5</v>
      </c>
      <c r="M19" s="233" t="s">
        <v>371</v>
      </c>
      <c r="N19" s="234">
        <f t="shared" si="1"/>
        <v>1</v>
      </c>
      <c r="O19" s="235" t="s">
        <v>12</v>
      </c>
      <c r="P19" s="236">
        <f t="shared" si="2"/>
        <v>0</v>
      </c>
      <c r="Q19" s="222"/>
      <c r="R19" s="223">
        <f t="shared" si="10"/>
        <v>45291</v>
      </c>
      <c r="S19" s="237">
        <f t="shared" si="3"/>
        <v>0.3</v>
      </c>
      <c r="T19" s="205">
        <f t="shared" si="7"/>
        <v>1</v>
      </c>
      <c r="U19" s="187" t="str">
        <f t="shared" si="8"/>
        <v xml:space="preserve">Incluir en el ciclo de auditorías de la vigencia </v>
      </c>
    </row>
    <row r="20" spans="2:21" ht="43.5" customHeight="1" thickBot="1" x14ac:dyDescent="0.35">
      <c r="B20" s="322" t="s">
        <v>641</v>
      </c>
      <c r="C20" s="230">
        <f>+'ANALISIS OCI'!X17</f>
        <v>1</v>
      </c>
      <c r="D20" s="231">
        <f>+'ANALISIS OCI'!Y17</f>
        <v>0</v>
      </c>
      <c r="E20" s="231">
        <f>+'ANALISIS OCI'!Z17</f>
        <v>0</v>
      </c>
      <c r="F20" s="231">
        <f>+'ANALISIS OCI'!AA17</f>
        <v>2</v>
      </c>
      <c r="G20" s="232">
        <f t="shared" si="4"/>
        <v>3</v>
      </c>
      <c r="H20" s="220" t="str">
        <f t="shared" si="5"/>
        <v>Extremo</v>
      </c>
      <c r="I20" s="221">
        <f t="shared" si="0"/>
        <v>0.5</v>
      </c>
      <c r="J20" s="217" t="str">
        <f>'ANALISIS OCI'!AC17</f>
        <v>Extremo</v>
      </c>
      <c r="K20" s="218">
        <f t="shared" si="9"/>
        <v>0.5</v>
      </c>
      <c r="L20" s="219">
        <f t="shared" si="6"/>
        <v>0.5</v>
      </c>
      <c r="M20" s="233"/>
      <c r="N20" s="234">
        <f t="shared" si="1"/>
        <v>0</v>
      </c>
      <c r="O20" s="235"/>
      <c r="P20" s="236">
        <f t="shared" si="2"/>
        <v>0</v>
      </c>
      <c r="Q20" s="222">
        <v>44612</v>
      </c>
      <c r="R20" s="223">
        <f t="shared" si="10"/>
        <v>679</v>
      </c>
      <c r="S20" s="237">
        <f t="shared" si="3"/>
        <v>0.1</v>
      </c>
      <c r="T20" s="205">
        <f t="shared" si="7"/>
        <v>0.6</v>
      </c>
      <c r="U20" s="187" t="str">
        <f t="shared" si="8"/>
        <v>Incluir en ciclos posteriores de auditoría</v>
      </c>
    </row>
    <row r="21" spans="2:21" ht="43.5" customHeight="1" thickBot="1" x14ac:dyDescent="0.35">
      <c r="B21" s="322" t="s">
        <v>642</v>
      </c>
      <c r="C21" s="230">
        <f>+'ANALISIS OCI'!X18</f>
        <v>1</v>
      </c>
      <c r="D21" s="231">
        <f>+'ANALISIS OCI'!Y18</f>
        <v>0</v>
      </c>
      <c r="E21" s="231">
        <f>+'ANALISIS OCI'!Z18</f>
        <v>0</v>
      </c>
      <c r="F21" s="231">
        <f>+'ANALISIS OCI'!AA18</f>
        <v>4</v>
      </c>
      <c r="G21" s="232">
        <f>SUM(C21:F21)</f>
        <v>5</v>
      </c>
      <c r="H21" s="220" t="str">
        <f>IF(G21=0,0,IF(($C21/$G21)&gt;=0.2,"Extremo",+IF((($C21/G21)+($D21/$G21))&gt;=0.3,"Alto",+IF((($C21/$G21)+($D21/$G21)+($E21/$G21))&gt;=0.4,"Moderado",+IF(($C21/$G21)+($D21/$G21)+($E21/$G21)+($F21/$G21)&gt;=0.5,"Bajo",IF(G21=0,0))))))</f>
        <v>Extremo</v>
      </c>
      <c r="I21" s="221">
        <f>(IF(H21="Extremo",50%,(IF(H21="Alto",40%,IF(H21="Moderado",15%,IF(H21="Bajo",10%,0))))))</f>
        <v>0.5</v>
      </c>
      <c r="J21" s="217" t="str">
        <f>'ANALISIS OCI'!AC18</f>
        <v>Extremo</v>
      </c>
      <c r="K21" s="218">
        <f>(IF(J21="Extremo",50%,(IF(J21="Alto",40%,IF(J21="Moderado",15%,IF(J21="Bajo",10%,0))))))</f>
        <v>0.5</v>
      </c>
      <c r="L21" s="219">
        <f>IF(I21=0,K21,I21)</f>
        <v>0.5</v>
      </c>
      <c r="M21" s="233"/>
      <c r="N21" s="234">
        <f>IF(M21="Si",100%,IF(M21="No",0,0))</f>
        <v>0</v>
      </c>
      <c r="O21" s="235"/>
      <c r="P21" s="236">
        <f>IF(O21="Si",20%,IF(O21="No",0,0))</f>
        <v>0</v>
      </c>
      <c r="Q21" s="222">
        <v>44696</v>
      </c>
      <c r="R21" s="223">
        <f>+$C$6-Q21</f>
        <v>595</v>
      </c>
      <c r="S21" s="237">
        <f>IF(R21&gt;=1080,30%,IF(R21&gt;=720,20%,IF(R21&gt;=360,10%,IF(R21&lt;=359,0%,0))))</f>
        <v>0.1</v>
      </c>
      <c r="T21" s="205">
        <f>IF(N21=100%,100%,(L21+P21+S21))</f>
        <v>0.6</v>
      </c>
      <c r="U21" s="187" t="str">
        <f>+IF(T21&gt;=85%,$AB$12,IF(AND( T21&gt;65%,T21&lt;85%),$AB$13,$AB$14))</f>
        <v>Incluir en ciclos posteriores de auditoría</v>
      </c>
    </row>
    <row r="22" spans="2:21" ht="54" customHeight="1" thickBot="1" x14ac:dyDescent="0.35">
      <c r="B22" s="322" t="s">
        <v>643</v>
      </c>
      <c r="C22" s="230">
        <f>+'ANALISIS OCI'!X19</f>
        <v>0</v>
      </c>
      <c r="D22" s="231">
        <f>+'ANALISIS OCI'!Y19</f>
        <v>2</v>
      </c>
      <c r="E22" s="231">
        <f>+'ANALISIS OCI'!Z19</f>
        <v>2</v>
      </c>
      <c r="F22" s="231">
        <f>+'ANALISIS OCI'!AA19</f>
        <v>2</v>
      </c>
      <c r="G22" s="232">
        <f>SUM(C22:F22)</f>
        <v>6</v>
      </c>
      <c r="H22" s="220" t="str">
        <f>IF(G22=0,0,IF(($C22/$G22)&gt;=0.2,"Extremo",+IF((($C22/G22)+($D22/$G22))&gt;=0.3,"Alto",+IF((($C22/$G22)+($D22/$G22)+($E22/$G22))&gt;=0.4,"Moderado",+IF(($C22/$G22)+($D22/$G22)+($E22/$G22)+($F22/$G22)&gt;=0.5,"Bajo",IF(G22=0,0))))))</f>
        <v>Alto</v>
      </c>
      <c r="I22" s="221">
        <f>(IF(H22="Extremo",50%,(IF(H22="Alto",40%,IF(H22="Moderado",15%,IF(H22="Bajo",10%,0))))))</f>
        <v>0.4</v>
      </c>
      <c r="J22" s="217" t="str">
        <f>'ANALISIS OCI'!AC19</f>
        <v>Alto</v>
      </c>
      <c r="K22" s="218">
        <f>(IF(J22="Extremo",50%,(IF(J22="Alto",40%,IF(J22="Moderado",15%,IF(J22="Bajo",10%,0))))))</f>
        <v>0.4</v>
      </c>
      <c r="L22" s="219">
        <f>IF(I22=0,K22,I22)</f>
        <v>0.4</v>
      </c>
      <c r="M22" s="233"/>
      <c r="N22" s="234">
        <f>IF(M22="Si",100%,IF(M22="No",0,0))</f>
        <v>0</v>
      </c>
      <c r="O22" s="235"/>
      <c r="P22" s="236">
        <f>IF(O22="Si",20%,IF(O22="No",0,0))</f>
        <v>0</v>
      </c>
      <c r="Q22" s="222">
        <v>44764</v>
      </c>
      <c r="R22" s="223">
        <f>+$C$6-Q22</f>
        <v>527</v>
      </c>
      <c r="S22" s="237">
        <f>IF(R22&gt;=1080,30%,IF(R22&gt;=720,20%,IF(R22&gt;=360,10%,IF(R22&lt;=359,0%,0))))</f>
        <v>0.1</v>
      </c>
      <c r="T22" s="205">
        <f>IF(N22=100%,100%,(L22+P22+S22))</f>
        <v>0.5</v>
      </c>
      <c r="U22" s="187" t="str">
        <f>+IF(T22&gt;=85%,$AB$12,IF(AND( T22&gt;65%,T22&lt;85%),$AB$13,$AB$14))</f>
        <v>Incluir en ciclos posteriores de auditoría</v>
      </c>
    </row>
    <row r="23" spans="2:21" ht="54" customHeight="1" thickBot="1" x14ac:dyDescent="0.35">
      <c r="B23" s="322" t="s">
        <v>644</v>
      </c>
      <c r="C23" s="230">
        <f>+'ANALISIS OCI'!X20</f>
        <v>1</v>
      </c>
      <c r="D23" s="231">
        <f>+'ANALISIS OCI'!Y20</f>
        <v>0</v>
      </c>
      <c r="E23" s="231">
        <f>+'ANALISIS OCI'!Z20</f>
        <v>3</v>
      </c>
      <c r="F23" s="231">
        <f>+'ANALISIS OCI'!AA20</f>
        <v>1</v>
      </c>
      <c r="G23" s="232">
        <f t="shared" si="4"/>
        <v>5</v>
      </c>
      <c r="H23" s="220" t="str">
        <f t="shared" si="5"/>
        <v>Extremo</v>
      </c>
      <c r="I23" s="221">
        <f>(IF(H23="Extremo",50%,(IF(H23="Alto",40%,IF(H23="Moderado",15%,IF(H23="Bajo",10%,0))))))</f>
        <v>0.5</v>
      </c>
      <c r="J23" s="217" t="str">
        <f>'ANALISIS OCI'!AC20</f>
        <v>Extremo</v>
      </c>
      <c r="K23" s="218">
        <f t="shared" si="9"/>
        <v>0.5</v>
      </c>
      <c r="L23" s="219">
        <f t="shared" si="6"/>
        <v>0.5</v>
      </c>
      <c r="M23" s="233"/>
      <c r="N23" s="234">
        <f t="shared" si="1"/>
        <v>0</v>
      </c>
      <c r="O23" s="235"/>
      <c r="P23" s="236">
        <f t="shared" si="2"/>
        <v>0</v>
      </c>
      <c r="Q23" s="222">
        <v>44803</v>
      </c>
      <c r="R23" s="223">
        <f t="shared" si="10"/>
        <v>488</v>
      </c>
      <c r="S23" s="237">
        <f t="shared" si="3"/>
        <v>0.1</v>
      </c>
      <c r="T23" s="205">
        <f t="shared" si="7"/>
        <v>0.6</v>
      </c>
      <c r="U23" s="187" t="str">
        <f t="shared" si="8"/>
        <v>Incluir en ciclos posteriores de auditoría</v>
      </c>
    </row>
    <row r="24" spans="2:21" ht="43.5" customHeight="1" thickBot="1" x14ac:dyDescent="0.35">
      <c r="B24" s="322" t="s">
        <v>645</v>
      </c>
      <c r="C24" s="230">
        <f>+'ANALISIS OCI'!X21</f>
        <v>1</v>
      </c>
      <c r="D24" s="231">
        <f>+'ANALISIS OCI'!Y21</f>
        <v>0</v>
      </c>
      <c r="E24" s="231">
        <f>+'ANALISIS OCI'!Z21</f>
        <v>1</v>
      </c>
      <c r="F24" s="231">
        <f>+'ANALISIS OCI'!AA21</f>
        <v>3</v>
      </c>
      <c r="G24" s="232">
        <f t="shared" si="4"/>
        <v>5</v>
      </c>
      <c r="H24" s="220" t="str">
        <f t="shared" si="5"/>
        <v>Extremo</v>
      </c>
      <c r="I24" s="221">
        <f t="shared" si="0"/>
        <v>0.5</v>
      </c>
      <c r="J24" s="217" t="str">
        <f>'ANALISIS OCI'!AC21</f>
        <v>Extremo</v>
      </c>
      <c r="K24" s="218">
        <f t="shared" si="9"/>
        <v>0.5</v>
      </c>
      <c r="L24" s="219">
        <f t="shared" si="6"/>
        <v>0.5</v>
      </c>
      <c r="M24" s="233"/>
      <c r="N24" s="234">
        <f t="shared" si="1"/>
        <v>0</v>
      </c>
      <c r="O24" s="235"/>
      <c r="P24" s="236">
        <f t="shared" si="2"/>
        <v>0</v>
      </c>
      <c r="Q24" s="222">
        <v>44895</v>
      </c>
      <c r="R24" s="223">
        <f t="shared" si="10"/>
        <v>396</v>
      </c>
      <c r="S24" s="237">
        <f t="shared" si="3"/>
        <v>0.1</v>
      </c>
      <c r="T24" s="174">
        <f t="shared" si="7"/>
        <v>0.6</v>
      </c>
      <c r="U24" s="187" t="str">
        <f t="shared" si="8"/>
        <v>Incluir en ciclos posteriores de auditoría</v>
      </c>
    </row>
    <row r="25" spans="2:21" ht="43.5" customHeight="1" thickBot="1" x14ac:dyDescent="0.35">
      <c r="B25" s="322" t="s">
        <v>646</v>
      </c>
      <c r="C25" s="230">
        <f>+'ANALISIS OCI'!X22</f>
        <v>1</v>
      </c>
      <c r="D25" s="231">
        <f>+'ANALISIS OCI'!Y22</f>
        <v>0</v>
      </c>
      <c r="E25" s="231">
        <f>+'ANALISIS OCI'!Z22</f>
        <v>0</v>
      </c>
      <c r="F25" s="231">
        <f>+'ANALISIS OCI'!AA22</f>
        <v>3</v>
      </c>
      <c r="G25" s="232">
        <f t="shared" si="4"/>
        <v>4</v>
      </c>
      <c r="H25" s="220" t="str">
        <f t="shared" si="5"/>
        <v>Extremo</v>
      </c>
      <c r="I25" s="221">
        <f t="shared" si="0"/>
        <v>0.5</v>
      </c>
      <c r="J25" s="217" t="str">
        <f>'ANALISIS OCI'!AC22</f>
        <v>Extremo</v>
      </c>
      <c r="K25" s="218">
        <f t="shared" si="9"/>
        <v>0.5</v>
      </c>
      <c r="L25" s="219">
        <f t="shared" si="6"/>
        <v>0.5</v>
      </c>
      <c r="M25" s="233"/>
      <c r="N25" s="234">
        <f t="shared" si="1"/>
        <v>0</v>
      </c>
      <c r="O25" s="235"/>
      <c r="P25" s="236">
        <f t="shared" si="2"/>
        <v>0</v>
      </c>
      <c r="Q25" s="222">
        <v>44829</v>
      </c>
      <c r="R25" s="223">
        <f t="shared" si="10"/>
        <v>462</v>
      </c>
      <c r="S25" s="237">
        <f t="shared" si="3"/>
        <v>0.1</v>
      </c>
      <c r="T25" s="174">
        <f>IF(N25=100%,100%,(L25+P25+S25))</f>
        <v>0.6</v>
      </c>
      <c r="U25" s="187" t="str">
        <f t="shared" si="8"/>
        <v>Incluir en ciclos posteriores de auditoría</v>
      </c>
    </row>
    <row r="26" spans="2:21" ht="43.5" customHeight="1" thickBot="1" x14ac:dyDescent="0.35">
      <c r="B26" s="322" t="s">
        <v>647</v>
      </c>
      <c r="C26" s="230">
        <f>+'ANALISIS OCI'!X23</f>
        <v>1</v>
      </c>
      <c r="D26" s="231">
        <f>+'ANALISIS OCI'!Y23</f>
        <v>1</v>
      </c>
      <c r="E26" s="231">
        <f>+'ANALISIS OCI'!Z23</f>
        <v>1</v>
      </c>
      <c r="F26" s="231">
        <f>+'ANALISIS OCI'!AA23</f>
        <v>3</v>
      </c>
      <c r="G26" s="232">
        <f t="shared" si="4"/>
        <v>6</v>
      </c>
      <c r="H26" s="220" t="str">
        <f t="shared" si="5"/>
        <v>Alto</v>
      </c>
      <c r="I26" s="221">
        <f t="shared" si="0"/>
        <v>0.4</v>
      </c>
      <c r="J26" s="217" t="str">
        <f>'ANALISIS OCI'!AC23</f>
        <v>Alto</v>
      </c>
      <c r="K26" s="218">
        <f t="shared" si="9"/>
        <v>0.4</v>
      </c>
      <c r="L26" s="219">
        <f t="shared" si="6"/>
        <v>0.4</v>
      </c>
      <c r="M26" s="233"/>
      <c r="N26" s="234">
        <f t="shared" si="1"/>
        <v>0</v>
      </c>
      <c r="O26" s="235"/>
      <c r="P26" s="236">
        <f t="shared" si="2"/>
        <v>0</v>
      </c>
      <c r="Q26" s="222">
        <v>44895</v>
      </c>
      <c r="R26" s="223">
        <f t="shared" si="10"/>
        <v>396</v>
      </c>
      <c r="S26" s="237">
        <f t="shared" si="3"/>
        <v>0.1</v>
      </c>
      <c r="T26" s="174">
        <f t="shared" si="7"/>
        <v>0.5</v>
      </c>
      <c r="U26" s="187" t="str">
        <f t="shared" si="8"/>
        <v>Incluir en ciclos posteriores de auditoría</v>
      </c>
    </row>
    <row r="27" spans="2:21" ht="50.25" thickBot="1" x14ac:dyDescent="0.35">
      <c r="B27" s="322" t="s">
        <v>648</v>
      </c>
      <c r="C27" s="230">
        <f>+'ANALISIS OCI'!X24</f>
        <v>1</v>
      </c>
      <c r="D27" s="231">
        <f>+'ANALISIS OCI'!Y24</f>
        <v>1</v>
      </c>
      <c r="E27" s="231">
        <f>+'ANALISIS OCI'!Z24</f>
        <v>1</v>
      </c>
      <c r="F27" s="231">
        <f>+'ANALISIS OCI'!AA24</f>
        <v>3</v>
      </c>
      <c r="G27" s="232">
        <f t="shared" si="4"/>
        <v>6</v>
      </c>
      <c r="H27" s="220" t="str">
        <f t="shared" si="5"/>
        <v>Alto</v>
      </c>
      <c r="I27" s="221">
        <f t="shared" si="0"/>
        <v>0.4</v>
      </c>
      <c r="J27" s="217" t="str">
        <f>'ANALISIS OCI'!AC24</f>
        <v>Alto</v>
      </c>
      <c r="K27" s="218">
        <f t="shared" si="9"/>
        <v>0.4</v>
      </c>
      <c r="L27" s="219">
        <f t="shared" si="6"/>
        <v>0.4</v>
      </c>
      <c r="M27" s="233"/>
      <c r="N27" s="234">
        <f t="shared" si="1"/>
        <v>0</v>
      </c>
      <c r="O27" s="235"/>
      <c r="P27" s="236">
        <f t="shared" si="2"/>
        <v>0</v>
      </c>
      <c r="Q27" s="222">
        <v>44895</v>
      </c>
      <c r="R27" s="223">
        <f t="shared" si="10"/>
        <v>396</v>
      </c>
      <c r="S27" s="237">
        <f t="shared" si="3"/>
        <v>0.1</v>
      </c>
      <c r="T27" s="174">
        <f t="shared" si="7"/>
        <v>0.5</v>
      </c>
      <c r="U27" s="187" t="str">
        <f t="shared" si="8"/>
        <v>Incluir en ciclos posteriores de auditoría</v>
      </c>
    </row>
    <row r="28" spans="2:21" ht="50.25" thickBot="1" x14ac:dyDescent="0.35">
      <c r="B28" s="322" t="s">
        <v>649</v>
      </c>
      <c r="C28" s="230">
        <f>+'ANALISIS OCI'!X25</f>
        <v>1</v>
      </c>
      <c r="D28" s="231">
        <f>+'ANALISIS OCI'!Y25</f>
        <v>1</v>
      </c>
      <c r="E28" s="231">
        <f>+'ANALISIS OCI'!Z25</f>
        <v>0</v>
      </c>
      <c r="F28" s="231">
        <f>+'ANALISIS OCI'!AA25</f>
        <v>4</v>
      </c>
      <c r="G28" s="232">
        <f t="shared" si="4"/>
        <v>6</v>
      </c>
      <c r="H28" s="220" t="str">
        <f t="shared" si="5"/>
        <v>Alto</v>
      </c>
      <c r="I28" s="221">
        <f t="shared" si="0"/>
        <v>0.4</v>
      </c>
      <c r="J28" s="217" t="str">
        <f>'ANALISIS OCI'!AC25</f>
        <v>Alto</v>
      </c>
      <c r="K28" s="218">
        <f t="shared" si="9"/>
        <v>0.4</v>
      </c>
      <c r="L28" s="219">
        <f t="shared" si="6"/>
        <v>0.4</v>
      </c>
      <c r="M28" s="233"/>
      <c r="N28" s="234">
        <f t="shared" si="1"/>
        <v>0</v>
      </c>
      <c r="O28" s="235"/>
      <c r="P28" s="236">
        <f t="shared" si="2"/>
        <v>0</v>
      </c>
      <c r="Q28" s="222">
        <v>44614</v>
      </c>
      <c r="R28" s="223">
        <f t="shared" si="10"/>
        <v>677</v>
      </c>
      <c r="S28" s="237">
        <f t="shared" si="3"/>
        <v>0.1</v>
      </c>
      <c r="T28" s="174">
        <f t="shared" si="7"/>
        <v>0.5</v>
      </c>
      <c r="U28" s="187" t="str">
        <f t="shared" si="8"/>
        <v>Incluir en ciclos posteriores de auditoría</v>
      </c>
    </row>
    <row r="29" spans="2:21" ht="33.75" thickBot="1" x14ac:dyDescent="0.35">
      <c r="B29" s="322" t="s">
        <v>650</v>
      </c>
      <c r="C29" s="230">
        <f>+'ANALISIS OCI'!X26</f>
        <v>1</v>
      </c>
      <c r="D29" s="231">
        <f>+'ANALISIS OCI'!Y26</f>
        <v>1</v>
      </c>
      <c r="E29" s="231">
        <f>+'ANALISIS OCI'!Z26</f>
        <v>2</v>
      </c>
      <c r="F29" s="231">
        <f>+'ANALISIS OCI'!AA26</f>
        <v>2</v>
      </c>
      <c r="G29" s="232">
        <f t="shared" si="4"/>
        <v>6</v>
      </c>
      <c r="H29" s="220" t="str">
        <f t="shared" si="5"/>
        <v>Alto</v>
      </c>
      <c r="I29" s="221">
        <f t="shared" si="0"/>
        <v>0.4</v>
      </c>
      <c r="J29" s="217" t="str">
        <f>'ANALISIS OCI'!AC26</f>
        <v>Alto</v>
      </c>
      <c r="K29" s="218">
        <f t="shared" si="9"/>
        <v>0.4</v>
      </c>
      <c r="L29" s="219">
        <f t="shared" si="6"/>
        <v>0.4</v>
      </c>
      <c r="M29" s="233"/>
      <c r="N29" s="234">
        <f t="shared" si="1"/>
        <v>0</v>
      </c>
      <c r="O29" s="235"/>
      <c r="P29" s="236">
        <f t="shared" si="2"/>
        <v>0</v>
      </c>
      <c r="Q29" s="222">
        <v>44864</v>
      </c>
      <c r="R29" s="223">
        <f t="shared" si="10"/>
        <v>427</v>
      </c>
      <c r="S29" s="237">
        <f t="shared" si="3"/>
        <v>0.1</v>
      </c>
      <c r="T29" s="174">
        <f t="shared" si="7"/>
        <v>0.5</v>
      </c>
      <c r="U29" s="187" t="str">
        <f t="shared" si="8"/>
        <v>Incluir en ciclos posteriores de auditoría</v>
      </c>
    </row>
    <row r="30" spans="2:21" ht="50.25" thickBot="1" x14ac:dyDescent="0.35">
      <c r="B30" s="322" t="s">
        <v>651</v>
      </c>
      <c r="C30" s="230">
        <f>+'ANALISIS OCI'!X27</f>
        <v>1</v>
      </c>
      <c r="D30" s="231">
        <f>+'ANALISIS OCI'!Y27</f>
        <v>1</v>
      </c>
      <c r="E30" s="231">
        <f>+'ANALISIS OCI'!Z27</f>
        <v>1</v>
      </c>
      <c r="F30" s="231">
        <f>+'ANALISIS OCI'!AA27</f>
        <v>3</v>
      </c>
      <c r="G30" s="232">
        <f t="shared" si="4"/>
        <v>6</v>
      </c>
      <c r="H30" s="220" t="str">
        <f t="shared" si="5"/>
        <v>Alto</v>
      </c>
      <c r="I30" s="221">
        <f t="shared" si="0"/>
        <v>0.4</v>
      </c>
      <c r="J30" s="217" t="str">
        <f>'ANALISIS OCI'!AC27</f>
        <v>Alto</v>
      </c>
      <c r="K30" s="218">
        <f t="shared" si="9"/>
        <v>0.4</v>
      </c>
      <c r="L30" s="219">
        <f t="shared" si="6"/>
        <v>0.4</v>
      </c>
      <c r="M30" s="233"/>
      <c r="N30" s="234">
        <f t="shared" si="1"/>
        <v>0</v>
      </c>
      <c r="O30" s="235"/>
      <c r="P30" s="236">
        <f t="shared" si="2"/>
        <v>0</v>
      </c>
      <c r="Q30" s="222">
        <v>44651</v>
      </c>
      <c r="R30" s="223">
        <f t="shared" si="10"/>
        <v>640</v>
      </c>
      <c r="S30" s="237">
        <f t="shared" si="3"/>
        <v>0.1</v>
      </c>
      <c r="T30" s="174">
        <f t="shared" si="7"/>
        <v>0.5</v>
      </c>
      <c r="U30" s="187" t="str">
        <f t="shared" si="8"/>
        <v>Incluir en ciclos posteriores de auditoría</v>
      </c>
    </row>
    <row r="31" spans="2:21" ht="43.5" customHeight="1" thickBot="1" x14ac:dyDescent="0.35">
      <c r="B31" s="322" t="s">
        <v>652</v>
      </c>
      <c r="C31" s="230">
        <f>+'ANALISIS OCI'!X28</f>
        <v>0</v>
      </c>
      <c r="D31" s="231">
        <f>+'ANALISIS OCI'!Y28</f>
        <v>1</v>
      </c>
      <c r="E31" s="231">
        <f>+'ANALISIS OCI'!Z28</f>
        <v>2</v>
      </c>
      <c r="F31" s="231">
        <f>+'ANALISIS OCI'!AA28</f>
        <v>2</v>
      </c>
      <c r="G31" s="232">
        <f t="shared" si="4"/>
        <v>5</v>
      </c>
      <c r="H31" s="220" t="str">
        <f t="shared" si="5"/>
        <v>Moderado</v>
      </c>
      <c r="I31" s="221">
        <f t="shared" si="0"/>
        <v>0.15</v>
      </c>
      <c r="J31" s="217" t="str">
        <f>'ANALISIS OCI'!AC28</f>
        <v>Moderado</v>
      </c>
      <c r="K31" s="218">
        <f t="shared" si="9"/>
        <v>0.15</v>
      </c>
      <c r="L31" s="219">
        <f t="shared" si="6"/>
        <v>0.15</v>
      </c>
      <c r="M31" s="233"/>
      <c r="N31" s="234">
        <f t="shared" si="1"/>
        <v>0</v>
      </c>
      <c r="O31" s="235"/>
      <c r="P31" s="236">
        <f t="shared" si="2"/>
        <v>0</v>
      </c>
      <c r="Q31" s="222">
        <v>44428</v>
      </c>
      <c r="R31" s="223">
        <f t="shared" si="10"/>
        <v>863</v>
      </c>
      <c r="S31" s="237">
        <f t="shared" si="3"/>
        <v>0.2</v>
      </c>
      <c r="T31" s="174">
        <f t="shared" si="7"/>
        <v>0.35</v>
      </c>
      <c r="U31" s="187" t="str">
        <f t="shared" si="8"/>
        <v>Incluir en ciclos posteriores de auditoría</v>
      </c>
    </row>
    <row r="32" spans="2:21" ht="43.5" customHeight="1" thickBot="1" x14ac:dyDescent="0.35">
      <c r="B32" s="322" t="s">
        <v>653</v>
      </c>
      <c r="C32" s="230">
        <f>+'ANALISIS OCI'!X29</f>
        <v>0</v>
      </c>
      <c r="D32" s="231">
        <f>+'ANALISIS OCI'!Y29</f>
        <v>1</v>
      </c>
      <c r="E32" s="231">
        <f>+'ANALISIS OCI'!Z29</f>
        <v>1</v>
      </c>
      <c r="F32" s="231">
        <f>+'ANALISIS OCI'!AA29</f>
        <v>1</v>
      </c>
      <c r="G32" s="232">
        <f t="shared" si="4"/>
        <v>3</v>
      </c>
      <c r="H32" s="220" t="str">
        <f t="shared" si="5"/>
        <v>Alto</v>
      </c>
      <c r="I32" s="221">
        <f t="shared" si="0"/>
        <v>0.4</v>
      </c>
      <c r="J32" s="217" t="str">
        <f>'ANALISIS OCI'!AC29</f>
        <v>Alto</v>
      </c>
      <c r="K32" s="218">
        <f t="shared" si="9"/>
        <v>0.4</v>
      </c>
      <c r="L32" s="219">
        <f t="shared" si="6"/>
        <v>0.4</v>
      </c>
      <c r="M32" s="233"/>
      <c r="N32" s="234">
        <f t="shared" si="1"/>
        <v>0</v>
      </c>
      <c r="O32" s="235"/>
      <c r="P32" s="236">
        <f t="shared" si="2"/>
        <v>0</v>
      </c>
      <c r="Q32" s="222">
        <v>44502</v>
      </c>
      <c r="R32" s="223">
        <f t="shared" si="10"/>
        <v>789</v>
      </c>
      <c r="S32" s="237">
        <f t="shared" si="3"/>
        <v>0.2</v>
      </c>
      <c r="T32" s="174">
        <f t="shared" si="7"/>
        <v>0.60000000000000009</v>
      </c>
      <c r="U32" s="187" t="str">
        <f t="shared" si="8"/>
        <v>Incluir en ciclos posteriores de auditoría</v>
      </c>
    </row>
    <row r="33" spans="2:21" ht="43.5" customHeight="1" thickBot="1" x14ac:dyDescent="0.35">
      <c r="B33" s="322" t="s">
        <v>654</v>
      </c>
      <c r="C33" s="230">
        <f>+'ANALISIS OCI'!X30</f>
        <v>0</v>
      </c>
      <c r="D33" s="231">
        <f>+'ANALISIS OCI'!Y30</f>
        <v>2</v>
      </c>
      <c r="E33" s="231">
        <f>+'ANALISIS OCI'!Z30</f>
        <v>2</v>
      </c>
      <c r="F33" s="231">
        <f>+'ANALISIS OCI'!AA30</f>
        <v>2</v>
      </c>
      <c r="G33" s="232">
        <f t="shared" si="4"/>
        <v>6</v>
      </c>
      <c r="H33" s="220" t="str">
        <f t="shared" si="5"/>
        <v>Alto</v>
      </c>
      <c r="I33" s="221">
        <f t="shared" si="0"/>
        <v>0.4</v>
      </c>
      <c r="J33" s="217" t="str">
        <f>'ANALISIS OCI'!AC30</f>
        <v>Alto</v>
      </c>
      <c r="K33" s="218">
        <f t="shared" si="9"/>
        <v>0.4</v>
      </c>
      <c r="L33" s="219">
        <f t="shared" si="6"/>
        <v>0.4</v>
      </c>
      <c r="M33" s="233"/>
      <c r="N33" s="234">
        <f t="shared" si="1"/>
        <v>0</v>
      </c>
      <c r="O33" s="235"/>
      <c r="P33" s="236">
        <f t="shared" si="2"/>
        <v>0</v>
      </c>
      <c r="Q33" s="222">
        <v>44523</v>
      </c>
      <c r="R33" s="223">
        <f t="shared" si="10"/>
        <v>768</v>
      </c>
      <c r="S33" s="237">
        <f t="shared" si="3"/>
        <v>0.2</v>
      </c>
      <c r="T33" s="174">
        <f t="shared" si="7"/>
        <v>0.60000000000000009</v>
      </c>
      <c r="U33" s="187" t="str">
        <f t="shared" si="8"/>
        <v>Incluir en ciclos posteriores de auditoría</v>
      </c>
    </row>
    <row r="34" spans="2:21" ht="43.5" customHeight="1" thickBot="1" x14ac:dyDescent="0.35">
      <c r="B34" s="322" t="s">
        <v>655</v>
      </c>
      <c r="C34" s="230">
        <f>+'ANALISIS OCI'!X31</f>
        <v>0</v>
      </c>
      <c r="D34" s="231">
        <f>+'ANALISIS OCI'!Y31</f>
        <v>1</v>
      </c>
      <c r="E34" s="231">
        <f>+'ANALISIS OCI'!Z31</f>
        <v>1</v>
      </c>
      <c r="F34" s="231">
        <f>+'ANALISIS OCI'!AA31</f>
        <v>3</v>
      </c>
      <c r="G34" s="232">
        <f t="shared" si="4"/>
        <v>5</v>
      </c>
      <c r="H34" s="220" t="str">
        <f t="shared" si="5"/>
        <v>Moderado</v>
      </c>
      <c r="I34" s="221">
        <f t="shared" si="0"/>
        <v>0.15</v>
      </c>
      <c r="J34" s="217" t="str">
        <f>'ANALISIS OCI'!AC31</f>
        <v>Moderado</v>
      </c>
      <c r="K34" s="218">
        <f t="shared" si="9"/>
        <v>0.15</v>
      </c>
      <c r="L34" s="219">
        <f t="shared" si="6"/>
        <v>0.15</v>
      </c>
      <c r="M34" s="233"/>
      <c r="N34" s="234">
        <f t="shared" si="1"/>
        <v>0</v>
      </c>
      <c r="O34" s="235"/>
      <c r="P34" s="236">
        <f t="shared" si="2"/>
        <v>0</v>
      </c>
      <c r="Q34" s="222">
        <v>44553</v>
      </c>
      <c r="R34" s="223">
        <f t="shared" si="10"/>
        <v>738</v>
      </c>
      <c r="S34" s="237">
        <f t="shared" si="3"/>
        <v>0.2</v>
      </c>
      <c r="T34" s="174">
        <f t="shared" si="7"/>
        <v>0.35</v>
      </c>
      <c r="U34" s="187" t="str">
        <f t="shared" si="8"/>
        <v>Incluir en ciclos posteriores de auditoría</v>
      </c>
    </row>
    <row r="35" spans="2:21" ht="43.5" customHeight="1" thickBot="1" x14ac:dyDescent="0.35">
      <c r="B35" s="322" t="s">
        <v>656</v>
      </c>
      <c r="C35" s="230">
        <f>+'ANALISIS OCI'!X32</f>
        <v>0</v>
      </c>
      <c r="D35" s="231">
        <f>+'ANALISIS OCI'!Y32</f>
        <v>1</v>
      </c>
      <c r="E35" s="231">
        <f>+'ANALISIS OCI'!Z32</f>
        <v>2</v>
      </c>
      <c r="F35" s="231">
        <f>+'ANALISIS OCI'!AA32</f>
        <v>2</v>
      </c>
      <c r="G35" s="232">
        <f t="shared" si="4"/>
        <v>5</v>
      </c>
      <c r="H35" s="220" t="str">
        <f t="shared" si="5"/>
        <v>Moderado</v>
      </c>
      <c r="I35" s="221">
        <f t="shared" si="0"/>
        <v>0.15</v>
      </c>
      <c r="J35" s="217" t="str">
        <f>'ANALISIS OCI'!AC32</f>
        <v>Moderado</v>
      </c>
      <c r="K35" s="218">
        <f t="shared" si="9"/>
        <v>0.15</v>
      </c>
      <c r="L35" s="219">
        <f t="shared" si="6"/>
        <v>0.15</v>
      </c>
      <c r="M35" s="233"/>
      <c r="N35" s="234">
        <f t="shared" si="1"/>
        <v>0</v>
      </c>
      <c r="O35" s="235"/>
      <c r="P35" s="236">
        <f t="shared" si="2"/>
        <v>0</v>
      </c>
      <c r="Q35" s="222">
        <v>44553</v>
      </c>
      <c r="R35" s="223">
        <f t="shared" si="10"/>
        <v>738</v>
      </c>
      <c r="S35" s="237">
        <f t="shared" si="3"/>
        <v>0.2</v>
      </c>
      <c r="T35" s="174">
        <f t="shared" si="7"/>
        <v>0.35</v>
      </c>
      <c r="U35" s="187" t="str">
        <f t="shared" si="8"/>
        <v>Incluir en ciclos posteriores de auditoría</v>
      </c>
    </row>
    <row r="36" spans="2:21" ht="43.5" customHeight="1" thickBot="1" x14ac:dyDescent="0.35">
      <c r="B36" s="322" t="s">
        <v>657</v>
      </c>
      <c r="C36" s="230">
        <f>+'ANALISIS OCI'!X33</f>
        <v>0</v>
      </c>
      <c r="D36" s="231">
        <f>+'ANALISIS OCI'!Y33</f>
        <v>0</v>
      </c>
      <c r="E36" s="231">
        <f>+'ANALISIS OCI'!Z33</f>
        <v>2</v>
      </c>
      <c r="F36" s="231">
        <f>+'ANALISIS OCI'!AA33</f>
        <v>2</v>
      </c>
      <c r="G36" s="232">
        <f t="shared" si="4"/>
        <v>4</v>
      </c>
      <c r="H36" s="220" t="str">
        <f t="shared" si="5"/>
        <v>Moderado</v>
      </c>
      <c r="I36" s="221">
        <f t="shared" si="0"/>
        <v>0.15</v>
      </c>
      <c r="J36" s="217" t="str">
        <f>'ANALISIS OCI'!AC33</f>
        <v>Moderado</v>
      </c>
      <c r="K36" s="218">
        <f t="shared" si="9"/>
        <v>0.15</v>
      </c>
      <c r="L36" s="219">
        <f t="shared" si="6"/>
        <v>0.15</v>
      </c>
      <c r="M36" s="233"/>
      <c r="N36" s="234">
        <f t="shared" si="1"/>
        <v>0</v>
      </c>
      <c r="O36" s="235"/>
      <c r="P36" s="236">
        <f t="shared" si="2"/>
        <v>0</v>
      </c>
      <c r="Q36" s="222">
        <v>44484</v>
      </c>
      <c r="R36" s="223">
        <f t="shared" si="10"/>
        <v>807</v>
      </c>
      <c r="S36" s="237">
        <f t="shared" si="3"/>
        <v>0.2</v>
      </c>
      <c r="T36" s="174">
        <f t="shared" si="7"/>
        <v>0.35</v>
      </c>
      <c r="U36" s="187" t="str">
        <f t="shared" si="8"/>
        <v>Incluir en ciclos posteriores de auditoría</v>
      </c>
    </row>
    <row r="37" spans="2:21" ht="43.5" customHeight="1" thickBot="1" x14ac:dyDescent="0.35">
      <c r="B37" s="238" t="s">
        <v>20</v>
      </c>
      <c r="C37" s="230">
        <f>+'ANALISIS OCI'!X34</f>
        <v>0</v>
      </c>
      <c r="D37" s="231">
        <f>+'ANALISIS OCI'!Y34</f>
        <v>0</v>
      </c>
      <c r="E37" s="231">
        <f>+'ANALISIS OCI'!Z34</f>
        <v>0</v>
      </c>
      <c r="F37" s="231">
        <f>+'ANALISIS OCI'!AA34</f>
        <v>0</v>
      </c>
      <c r="G37" s="232">
        <f t="shared" si="4"/>
        <v>0</v>
      </c>
      <c r="H37" s="220">
        <f t="shared" si="5"/>
        <v>0</v>
      </c>
      <c r="I37" s="221">
        <f t="shared" si="0"/>
        <v>0</v>
      </c>
      <c r="J37" s="217" t="e">
        <f>'ANALISIS OCI'!AC34</f>
        <v>#DIV/0!</v>
      </c>
      <c r="K37" s="218" t="e">
        <f t="shared" si="9"/>
        <v>#DIV/0!</v>
      </c>
      <c r="L37" s="219" t="e">
        <f t="shared" si="6"/>
        <v>#DIV/0!</v>
      </c>
      <c r="M37" s="233"/>
      <c r="N37" s="234">
        <f t="shared" si="1"/>
        <v>0</v>
      </c>
      <c r="O37" s="235"/>
      <c r="P37" s="236">
        <f t="shared" si="2"/>
        <v>0</v>
      </c>
      <c r="Q37" s="222"/>
      <c r="R37" s="223">
        <f t="shared" si="10"/>
        <v>45291</v>
      </c>
      <c r="S37" s="237">
        <f t="shared" si="3"/>
        <v>0.3</v>
      </c>
      <c r="T37" s="174" t="e">
        <f t="shared" si="7"/>
        <v>#DIV/0!</v>
      </c>
      <c r="U37" s="187" t="e">
        <f t="shared" si="8"/>
        <v>#DIV/0!</v>
      </c>
    </row>
    <row r="38" spans="2:21" ht="43.5" customHeight="1" thickBot="1" x14ac:dyDescent="0.35">
      <c r="B38" s="238" t="s">
        <v>283</v>
      </c>
      <c r="C38" s="230">
        <f>+'ANALISIS OCI'!X35</f>
        <v>0</v>
      </c>
      <c r="D38" s="231">
        <f>+'ANALISIS OCI'!Y35</f>
        <v>0</v>
      </c>
      <c r="E38" s="231">
        <f>+'ANALISIS OCI'!Z35</f>
        <v>0</v>
      </c>
      <c r="F38" s="231">
        <f>+'ANALISIS OCI'!AA35</f>
        <v>0</v>
      </c>
      <c r="G38" s="232">
        <f t="shared" si="4"/>
        <v>0</v>
      </c>
      <c r="H38" s="220">
        <f t="shared" si="5"/>
        <v>0</v>
      </c>
      <c r="I38" s="221">
        <f t="shared" si="0"/>
        <v>0</v>
      </c>
      <c r="J38" s="217" t="e">
        <f>'ANALISIS OCI'!AC35</f>
        <v>#DIV/0!</v>
      </c>
      <c r="K38" s="218" t="e">
        <f t="shared" si="9"/>
        <v>#DIV/0!</v>
      </c>
      <c r="L38" s="219" t="e">
        <f t="shared" si="6"/>
        <v>#DIV/0!</v>
      </c>
      <c r="M38" s="233"/>
      <c r="N38" s="234">
        <f t="shared" si="1"/>
        <v>0</v>
      </c>
      <c r="O38" s="235"/>
      <c r="P38" s="236">
        <f t="shared" si="2"/>
        <v>0</v>
      </c>
      <c r="Q38" s="222"/>
      <c r="R38" s="223">
        <f t="shared" si="10"/>
        <v>45291</v>
      </c>
      <c r="S38" s="237">
        <f t="shared" si="3"/>
        <v>0.3</v>
      </c>
      <c r="T38" s="174" t="e">
        <f t="shared" si="7"/>
        <v>#DIV/0!</v>
      </c>
      <c r="U38" s="187" t="e">
        <f t="shared" si="8"/>
        <v>#DIV/0!</v>
      </c>
    </row>
    <row r="39" spans="2:21" ht="43.5" customHeight="1" thickBot="1" x14ac:dyDescent="0.35">
      <c r="B39" s="238" t="s">
        <v>284</v>
      </c>
      <c r="C39" s="230">
        <f>+'ANALISIS OCI'!X36</f>
        <v>0</v>
      </c>
      <c r="D39" s="231">
        <f>+'ANALISIS OCI'!Y36</f>
        <v>0</v>
      </c>
      <c r="E39" s="231">
        <f>+'ANALISIS OCI'!Z36</f>
        <v>0</v>
      </c>
      <c r="F39" s="231">
        <f>+'ANALISIS OCI'!AA36</f>
        <v>0</v>
      </c>
      <c r="G39" s="232">
        <f t="shared" si="4"/>
        <v>0</v>
      </c>
      <c r="H39" s="220">
        <f t="shared" si="5"/>
        <v>0</v>
      </c>
      <c r="I39" s="221">
        <f t="shared" si="0"/>
        <v>0</v>
      </c>
      <c r="J39" s="217" t="e">
        <f>'ANALISIS OCI'!AC36</f>
        <v>#DIV/0!</v>
      </c>
      <c r="K39" s="218" t="e">
        <f t="shared" si="9"/>
        <v>#DIV/0!</v>
      </c>
      <c r="L39" s="219" t="e">
        <f t="shared" si="6"/>
        <v>#DIV/0!</v>
      </c>
      <c r="M39" s="233"/>
      <c r="N39" s="234">
        <f t="shared" si="1"/>
        <v>0</v>
      </c>
      <c r="O39" s="235"/>
      <c r="P39" s="236">
        <f t="shared" si="2"/>
        <v>0</v>
      </c>
      <c r="Q39" s="222"/>
      <c r="R39" s="223">
        <f t="shared" si="10"/>
        <v>45291</v>
      </c>
      <c r="S39" s="237">
        <f t="shared" si="3"/>
        <v>0.3</v>
      </c>
      <c r="T39" s="174" t="e">
        <f t="shared" si="7"/>
        <v>#DIV/0!</v>
      </c>
      <c r="U39" s="187" t="e">
        <f t="shared" si="8"/>
        <v>#DIV/0!</v>
      </c>
    </row>
    <row r="40" spans="2:21" ht="43.5" customHeight="1" thickBot="1" x14ac:dyDescent="0.35">
      <c r="B40" s="238" t="s">
        <v>285</v>
      </c>
      <c r="C40" s="230">
        <f>+'ANALISIS OCI'!X37</f>
        <v>0</v>
      </c>
      <c r="D40" s="231">
        <f>+'ANALISIS OCI'!Y37</f>
        <v>0</v>
      </c>
      <c r="E40" s="231">
        <f>+'ANALISIS OCI'!Z37</f>
        <v>0</v>
      </c>
      <c r="F40" s="231">
        <f>+'ANALISIS OCI'!AA37</f>
        <v>0</v>
      </c>
      <c r="G40" s="232">
        <f t="shared" si="4"/>
        <v>0</v>
      </c>
      <c r="H40" s="220">
        <f t="shared" si="5"/>
        <v>0</v>
      </c>
      <c r="I40" s="221">
        <f t="shared" si="0"/>
        <v>0</v>
      </c>
      <c r="J40" s="217" t="e">
        <f>'ANALISIS OCI'!AC37</f>
        <v>#DIV/0!</v>
      </c>
      <c r="K40" s="218" t="e">
        <f t="shared" si="9"/>
        <v>#DIV/0!</v>
      </c>
      <c r="L40" s="219" t="e">
        <f t="shared" si="6"/>
        <v>#DIV/0!</v>
      </c>
      <c r="M40" s="233"/>
      <c r="N40" s="234">
        <f t="shared" si="1"/>
        <v>0</v>
      </c>
      <c r="O40" s="235"/>
      <c r="P40" s="236">
        <f t="shared" si="2"/>
        <v>0</v>
      </c>
      <c r="Q40" s="222"/>
      <c r="R40" s="223">
        <f t="shared" si="10"/>
        <v>45291</v>
      </c>
      <c r="S40" s="237">
        <f t="shared" si="3"/>
        <v>0.3</v>
      </c>
      <c r="T40" s="174" t="e">
        <f t="shared" si="7"/>
        <v>#DIV/0!</v>
      </c>
      <c r="U40" s="187" t="e">
        <f t="shared" si="8"/>
        <v>#DIV/0!</v>
      </c>
    </row>
    <row r="41" spans="2:21" ht="43.5" customHeight="1" thickBot="1" x14ac:dyDescent="0.35">
      <c r="B41" s="238" t="s">
        <v>286</v>
      </c>
      <c r="C41" s="230">
        <f>+'ANALISIS OCI'!X38</f>
        <v>0</v>
      </c>
      <c r="D41" s="231">
        <f>+'ANALISIS OCI'!Y38</f>
        <v>0</v>
      </c>
      <c r="E41" s="231">
        <f>+'ANALISIS OCI'!Z38</f>
        <v>0</v>
      </c>
      <c r="F41" s="231">
        <f>+'ANALISIS OCI'!AA38</f>
        <v>0</v>
      </c>
      <c r="G41" s="232">
        <f t="shared" si="4"/>
        <v>0</v>
      </c>
      <c r="H41" s="220">
        <f t="shared" si="5"/>
        <v>0</v>
      </c>
      <c r="I41" s="221">
        <f t="shared" si="0"/>
        <v>0</v>
      </c>
      <c r="J41" s="217" t="e">
        <f>'ANALISIS OCI'!AC38</f>
        <v>#DIV/0!</v>
      </c>
      <c r="K41" s="218" t="e">
        <f t="shared" si="9"/>
        <v>#DIV/0!</v>
      </c>
      <c r="L41" s="219" t="e">
        <f t="shared" si="6"/>
        <v>#DIV/0!</v>
      </c>
      <c r="M41" s="233"/>
      <c r="N41" s="234">
        <f t="shared" si="1"/>
        <v>0</v>
      </c>
      <c r="O41" s="235"/>
      <c r="P41" s="236">
        <f t="shared" si="2"/>
        <v>0</v>
      </c>
      <c r="Q41" s="222"/>
      <c r="R41" s="223">
        <f t="shared" si="10"/>
        <v>45291</v>
      </c>
      <c r="S41" s="237">
        <f t="shared" si="3"/>
        <v>0.3</v>
      </c>
      <c r="T41" s="174" t="e">
        <f t="shared" si="7"/>
        <v>#DIV/0!</v>
      </c>
      <c r="U41" s="187" t="e">
        <f t="shared" si="8"/>
        <v>#DIV/0!</v>
      </c>
    </row>
    <row r="42" spans="2:21" ht="43.5" customHeight="1" thickBot="1" x14ac:dyDescent="0.35">
      <c r="B42" s="238" t="s">
        <v>287</v>
      </c>
      <c r="C42" s="230">
        <f>+'ANALISIS OCI'!X39</f>
        <v>0</v>
      </c>
      <c r="D42" s="231">
        <f>+'ANALISIS OCI'!Y39</f>
        <v>0</v>
      </c>
      <c r="E42" s="231">
        <f>+'ANALISIS OCI'!Z39</f>
        <v>0</v>
      </c>
      <c r="F42" s="231">
        <f>+'ANALISIS OCI'!AA39</f>
        <v>0</v>
      </c>
      <c r="G42" s="232">
        <f t="shared" si="4"/>
        <v>0</v>
      </c>
      <c r="H42" s="220">
        <f t="shared" si="5"/>
        <v>0</v>
      </c>
      <c r="I42" s="221">
        <f t="shared" si="0"/>
        <v>0</v>
      </c>
      <c r="J42" s="217" t="e">
        <f>'ANALISIS OCI'!AC39</f>
        <v>#DIV/0!</v>
      </c>
      <c r="K42" s="218" t="e">
        <f t="shared" si="9"/>
        <v>#DIV/0!</v>
      </c>
      <c r="L42" s="219" t="e">
        <f t="shared" si="6"/>
        <v>#DIV/0!</v>
      </c>
      <c r="M42" s="233"/>
      <c r="N42" s="234">
        <f t="shared" si="1"/>
        <v>0</v>
      </c>
      <c r="O42" s="235"/>
      <c r="P42" s="236">
        <f t="shared" si="2"/>
        <v>0</v>
      </c>
      <c r="Q42" s="222"/>
      <c r="R42" s="223">
        <f t="shared" si="10"/>
        <v>45291</v>
      </c>
      <c r="S42" s="237">
        <f t="shared" si="3"/>
        <v>0.3</v>
      </c>
      <c r="T42" s="174" t="e">
        <f t="shared" si="7"/>
        <v>#DIV/0!</v>
      </c>
      <c r="U42" s="187" t="e">
        <f t="shared" si="8"/>
        <v>#DIV/0!</v>
      </c>
    </row>
    <row r="43" spans="2:21" ht="43.5" customHeight="1" thickBot="1" x14ac:dyDescent="0.35">
      <c r="B43" s="238" t="s">
        <v>288</v>
      </c>
      <c r="C43" s="230">
        <f>+'ANALISIS OCI'!X40</f>
        <v>0</v>
      </c>
      <c r="D43" s="231">
        <f>+'ANALISIS OCI'!Y40</f>
        <v>0</v>
      </c>
      <c r="E43" s="231">
        <f>+'ANALISIS OCI'!Z40</f>
        <v>0</v>
      </c>
      <c r="F43" s="231">
        <f>+'ANALISIS OCI'!AA40</f>
        <v>0</v>
      </c>
      <c r="G43" s="232">
        <f t="shared" si="4"/>
        <v>0</v>
      </c>
      <c r="H43" s="220">
        <f t="shared" si="5"/>
        <v>0</v>
      </c>
      <c r="I43" s="221">
        <f t="shared" si="0"/>
        <v>0</v>
      </c>
      <c r="J43" s="217" t="e">
        <f>'ANALISIS OCI'!AC40</f>
        <v>#DIV/0!</v>
      </c>
      <c r="K43" s="218" t="e">
        <f t="shared" si="9"/>
        <v>#DIV/0!</v>
      </c>
      <c r="L43" s="219" t="e">
        <f t="shared" si="6"/>
        <v>#DIV/0!</v>
      </c>
      <c r="M43" s="233"/>
      <c r="N43" s="234">
        <f t="shared" si="1"/>
        <v>0</v>
      </c>
      <c r="O43" s="235"/>
      <c r="P43" s="236">
        <f t="shared" si="2"/>
        <v>0</v>
      </c>
      <c r="Q43" s="222"/>
      <c r="R43" s="223">
        <f t="shared" si="10"/>
        <v>45291</v>
      </c>
      <c r="S43" s="237">
        <f t="shared" si="3"/>
        <v>0.3</v>
      </c>
      <c r="T43" s="174" t="e">
        <f t="shared" si="7"/>
        <v>#DIV/0!</v>
      </c>
      <c r="U43" s="187" t="e">
        <f t="shared" si="8"/>
        <v>#DIV/0!</v>
      </c>
    </row>
    <row r="44" spans="2:21" ht="43.5" customHeight="1" thickBot="1" x14ac:dyDescent="0.35">
      <c r="B44" s="238" t="s">
        <v>289</v>
      </c>
      <c r="C44" s="230">
        <f>+'ANALISIS OCI'!X41</f>
        <v>0</v>
      </c>
      <c r="D44" s="231">
        <f>+'ANALISIS OCI'!Y41</f>
        <v>0</v>
      </c>
      <c r="E44" s="231">
        <f>+'ANALISIS OCI'!Z41</f>
        <v>0</v>
      </c>
      <c r="F44" s="231">
        <f>+'ANALISIS OCI'!AA41</f>
        <v>0</v>
      </c>
      <c r="G44" s="232">
        <f t="shared" si="4"/>
        <v>0</v>
      </c>
      <c r="H44" s="220">
        <f t="shared" si="5"/>
        <v>0</v>
      </c>
      <c r="I44" s="221">
        <f t="shared" si="0"/>
        <v>0</v>
      </c>
      <c r="J44" s="217" t="e">
        <f>'ANALISIS OCI'!AC41</f>
        <v>#DIV/0!</v>
      </c>
      <c r="K44" s="218" t="e">
        <f t="shared" si="9"/>
        <v>#DIV/0!</v>
      </c>
      <c r="L44" s="219" t="e">
        <f t="shared" si="6"/>
        <v>#DIV/0!</v>
      </c>
      <c r="M44" s="233"/>
      <c r="N44" s="234">
        <f t="shared" si="1"/>
        <v>0</v>
      </c>
      <c r="O44" s="235"/>
      <c r="P44" s="236">
        <f t="shared" si="2"/>
        <v>0</v>
      </c>
      <c r="Q44" s="222"/>
      <c r="R44" s="223">
        <f t="shared" si="10"/>
        <v>45291</v>
      </c>
      <c r="S44" s="237">
        <f t="shared" si="3"/>
        <v>0.3</v>
      </c>
      <c r="T44" s="174" t="e">
        <f t="shared" si="7"/>
        <v>#DIV/0!</v>
      </c>
      <c r="U44" s="187" t="e">
        <f t="shared" si="8"/>
        <v>#DIV/0!</v>
      </c>
    </row>
    <row r="45" spans="2:21" ht="43.5" customHeight="1" thickBot="1" x14ac:dyDescent="0.35">
      <c r="B45" s="238" t="s">
        <v>290</v>
      </c>
      <c r="C45" s="230">
        <f>+'ANALISIS OCI'!X42</f>
        <v>0</v>
      </c>
      <c r="D45" s="231">
        <f>+'ANALISIS OCI'!Y42</f>
        <v>0</v>
      </c>
      <c r="E45" s="231">
        <f>+'ANALISIS OCI'!Z42</f>
        <v>0</v>
      </c>
      <c r="F45" s="231">
        <f>+'ANALISIS OCI'!AA42</f>
        <v>0</v>
      </c>
      <c r="G45" s="232">
        <f t="shared" si="4"/>
        <v>0</v>
      </c>
      <c r="H45" s="220">
        <f t="shared" si="5"/>
        <v>0</v>
      </c>
      <c r="I45" s="221">
        <f t="shared" si="0"/>
        <v>0</v>
      </c>
      <c r="J45" s="217" t="e">
        <f>'ANALISIS OCI'!AC42</f>
        <v>#DIV/0!</v>
      </c>
      <c r="K45" s="218" t="e">
        <f t="shared" si="9"/>
        <v>#DIV/0!</v>
      </c>
      <c r="L45" s="219" t="e">
        <f t="shared" si="6"/>
        <v>#DIV/0!</v>
      </c>
      <c r="M45" s="233"/>
      <c r="N45" s="234">
        <f t="shared" si="1"/>
        <v>0</v>
      </c>
      <c r="O45" s="235"/>
      <c r="P45" s="236">
        <f t="shared" si="2"/>
        <v>0</v>
      </c>
      <c r="Q45" s="222"/>
      <c r="R45" s="223">
        <f t="shared" si="10"/>
        <v>45291</v>
      </c>
      <c r="S45" s="237">
        <f t="shared" si="3"/>
        <v>0.3</v>
      </c>
      <c r="T45" s="174" t="e">
        <f t="shared" si="7"/>
        <v>#DIV/0!</v>
      </c>
      <c r="U45" s="187" t="e">
        <f t="shared" si="8"/>
        <v>#DIV/0!</v>
      </c>
    </row>
    <row r="46" spans="2:21" ht="43.5" customHeight="1" thickBot="1" x14ac:dyDescent="0.35">
      <c r="B46" s="238" t="s">
        <v>291</v>
      </c>
      <c r="C46" s="230">
        <f>+'ANALISIS OCI'!X43</f>
        <v>0</v>
      </c>
      <c r="D46" s="231">
        <f>+'ANALISIS OCI'!Y43</f>
        <v>0</v>
      </c>
      <c r="E46" s="231">
        <f>+'ANALISIS OCI'!Z43</f>
        <v>0</v>
      </c>
      <c r="F46" s="231">
        <f>+'ANALISIS OCI'!AA43</f>
        <v>0</v>
      </c>
      <c r="G46" s="232">
        <f t="shared" si="4"/>
        <v>0</v>
      </c>
      <c r="H46" s="220">
        <f t="shared" si="5"/>
        <v>0</v>
      </c>
      <c r="I46" s="221">
        <f t="shared" si="0"/>
        <v>0</v>
      </c>
      <c r="J46" s="217" t="e">
        <f>'ANALISIS OCI'!AC43</f>
        <v>#DIV/0!</v>
      </c>
      <c r="K46" s="218" t="e">
        <f t="shared" si="9"/>
        <v>#DIV/0!</v>
      </c>
      <c r="L46" s="219" t="e">
        <f t="shared" si="6"/>
        <v>#DIV/0!</v>
      </c>
      <c r="M46" s="233"/>
      <c r="N46" s="234">
        <f t="shared" si="1"/>
        <v>0</v>
      </c>
      <c r="O46" s="235"/>
      <c r="P46" s="236">
        <f t="shared" si="2"/>
        <v>0</v>
      </c>
      <c r="Q46" s="222"/>
      <c r="R46" s="223">
        <f t="shared" si="10"/>
        <v>45291</v>
      </c>
      <c r="S46" s="237">
        <f t="shared" si="3"/>
        <v>0.3</v>
      </c>
      <c r="T46" s="174" t="e">
        <f t="shared" si="7"/>
        <v>#DIV/0!</v>
      </c>
      <c r="U46" s="187" t="e">
        <f t="shared" si="8"/>
        <v>#DIV/0!</v>
      </c>
    </row>
    <row r="47" spans="2:21" ht="43.5" customHeight="1" thickBot="1" x14ac:dyDescent="0.35">
      <c r="B47" s="241" t="s">
        <v>292</v>
      </c>
      <c r="C47" s="230">
        <f>+'ANALISIS OCI'!X44</f>
        <v>0</v>
      </c>
      <c r="D47" s="231">
        <f>+'ANALISIS OCI'!Y44</f>
        <v>0</v>
      </c>
      <c r="E47" s="231">
        <f>+'ANALISIS OCI'!Z44</f>
        <v>0</v>
      </c>
      <c r="F47" s="231">
        <f>+'ANALISIS OCI'!AA44</f>
        <v>0</v>
      </c>
      <c r="G47" s="232">
        <f t="shared" si="4"/>
        <v>0</v>
      </c>
      <c r="H47" s="220">
        <f t="shared" si="5"/>
        <v>0</v>
      </c>
      <c r="I47" s="221">
        <f t="shared" si="0"/>
        <v>0</v>
      </c>
      <c r="J47" s="217" t="e">
        <f>'ANALISIS OCI'!AC44</f>
        <v>#DIV/0!</v>
      </c>
      <c r="K47" s="218" t="e">
        <f t="shared" si="9"/>
        <v>#DIV/0!</v>
      </c>
      <c r="L47" s="219" t="e">
        <f t="shared" si="6"/>
        <v>#DIV/0!</v>
      </c>
      <c r="M47" s="233"/>
      <c r="N47" s="234">
        <f t="shared" si="1"/>
        <v>0</v>
      </c>
      <c r="O47" s="235"/>
      <c r="P47" s="236">
        <f t="shared" si="2"/>
        <v>0</v>
      </c>
      <c r="Q47" s="222"/>
      <c r="R47" s="223">
        <f t="shared" si="10"/>
        <v>45291</v>
      </c>
      <c r="S47" s="237">
        <f t="shared" si="3"/>
        <v>0.3</v>
      </c>
      <c r="T47" s="174" t="e">
        <f t="shared" si="7"/>
        <v>#DIV/0!</v>
      </c>
      <c r="U47" s="187" t="e">
        <f t="shared" si="8"/>
        <v>#DIV/0!</v>
      </c>
    </row>
    <row r="48" spans="2:21" ht="43.5" customHeight="1" thickBot="1" x14ac:dyDescent="0.35">
      <c r="B48" s="240" t="s">
        <v>293</v>
      </c>
      <c r="C48" s="230">
        <f>+'ANALISIS OCI'!X45</f>
        <v>0</v>
      </c>
      <c r="D48" s="231">
        <f>+'ANALISIS OCI'!Y45</f>
        <v>0</v>
      </c>
      <c r="E48" s="231">
        <f>+'ANALISIS OCI'!Z45</f>
        <v>0</v>
      </c>
      <c r="F48" s="231">
        <f>+'ANALISIS OCI'!AA45</f>
        <v>0</v>
      </c>
      <c r="G48" s="232">
        <f t="shared" si="4"/>
        <v>0</v>
      </c>
      <c r="H48" s="220">
        <f t="shared" si="5"/>
        <v>0</v>
      </c>
      <c r="I48" s="221">
        <f t="shared" si="0"/>
        <v>0</v>
      </c>
      <c r="J48" s="217" t="e">
        <f>'ANALISIS OCI'!AC45</f>
        <v>#DIV/0!</v>
      </c>
      <c r="K48" s="218" t="e">
        <f t="shared" si="9"/>
        <v>#DIV/0!</v>
      </c>
      <c r="L48" s="219" t="e">
        <f t="shared" si="6"/>
        <v>#DIV/0!</v>
      </c>
      <c r="M48" s="233"/>
      <c r="N48" s="234">
        <f t="shared" si="1"/>
        <v>0</v>
      </c>
      <c r="O48" s="235"/>
      <c r="P48" s="236">
        <f t="shared" si="2"/>
        <v>0</v>
      </c>
      <c r="Q48" s="222"/>
      <c r="R48" s="223">
        <f t="shared" si="10"/>
        <v>45291</v>
      </c>
      <c r="S48" s="237">
        <f t="shared" si="3"/>
        <v>0.3</v>
      </c>
      <c r="T48" s="174" t="e">
        <f t="shared" si="7"/>
        <v>#DIV/0!</v>
      </c>
      <c r="U48" s="187" t="e">
        <f t="shared" si="8"/>
        <v>#DIV/0!</v>
      </c>
    </row>
    <row r="49" spans="2:21" ht="63" customHeight="1" thickBot="1" x14ac:dyDescent="0.35">
      <c r="B49" s="240" t="s">
        <v>307</v>
      </c>
      <c r="C49" s="230">
        <f>+'ANALISIS OCI'!X46</f>
        <v>0</v>
      </c>
      <c r="D49" s="231">
        <f>+'ANALISIS OCI'!Y46</f>
        <v>0</v>
      </c>
      <c r="E49" s="231">
        <f>+'ANALISIS OCI'!Z46</f>
        <v>0</v>
      </c>
      <c r="F49" s="231">
        <f>+'ANALISIS OCI'!AA46</f>
        <v>0</v>
      </c>
      <c r="G49" s="232">
        <f t="shared" ref="G49:G93" si="20">SUM(C49:F49)</f>
        <v>0</v>
      </c>
      <c r="H49" s="220">
        <f t="shared" ref="H49:H93" si="21">IF(G49=0,0,IF(($C49/$G49)&gt;=0.2,"Extremo",+IF((($C49/G49)+($D49/$G49))&gt;=0.3,"Alto",+IF((($C49/$G49)+($D49/$G49)+($E49/$G49))&gt;=0.4,"Moderado",+IF(($C49/$G49)+($D49/$G49)+($E49/$G49)+($F49/$G49)&gt;=0.5,"Bajo",IF(G49=0,0))))))</f>
        <v>0</v>
      </c>
      <c r="I49" s="221">
        <f t="shared" ref="I49:I93" si="22">(IF(H49="Extremo",50%,(IF(H49="Alto",40%,IF(H49="Moderado",15%,IF(H49="Bajo",10%,0))))))</f>
        <v>0</v>
      </c>
      <c r="J49" s="217" t="e">
        <f>'ANALISIS OCI'!AC46</f>
        <v>#DIV/0!</v>
      </c>
      <c r="K49" s="218" t="e">
        <f t="shared" si="9"/>
        <v>#DIV/0!</v>
      </c>
      <c r="L49" s="219" t="e">
        <f t="shared" si="6"/>
        <v>#DIV/0!</v>
      </c>
      <c r="M49" s="233"/>
      <c r="N49" s="234">
        <f t="shared" ref="N49:N93" si="23">IF(M49="Si",100%,IF(M49="No",0,0))</f>
        <v>0</v>
      </c>
      <c r="O49" s="235"/>
      <c r="P49" s="236">
        <f t="shared" ref="P49:P93" si="24">IF(O49="Si",20%,IF(O49="No",0,0))</f>
        <v>0</v>
      </c>
      <c r="Q49" s="222"/>
      <c r="R49" s="223">
        <f t="shared" ref="R49:R93" si="25">+$C$6-Q49</f>
        <v>45291</v>
      </c>
      <c r="S49" s="237">
        <f t="shared" ref="S49:S93" si="26">IF(R49&gt;=1080,30%,IF(R49&gt;=720,20%,IF(R49&gt;=360,10%,IF(R49&lt;=359,0%,0))))</f>
        <v>0.3</v>
      </c>
      <c r="T49" s="174" t="e">
        <f t="shared" ref="T49:T93" si="27">IF(N49=100%,100%,(L49+P49+S49))</f>
        <v>#DIV/0!</v>
      </c>
      <c r="U49" s="187" t="e">
        <f t="shared" si="8"/>
        <v>#DIV/0!</v>
      </c>
    </row>
    <row r="50" spans="2:21" ht="63" customHeight="1" thickBot="1" x14ac:dyDescent="0.35">
      <c r="B50" s="240" t="s">
        <v>308</v>
      </c>
      <c r="C50" s="230">
        <f>+'ANALISIS OCI'!X47</f>
        <v>0</v>
      </c>
      <c r="D50" s="231">
        <f>+'ANALISIS OCI'!Y47</f>
        <v>0</v>
      </c>
      <c r="E50" s="231">
        <f>+'ANALISIS OCI'!Z47</f>
        <v>0</v>
      </c>
      <c r="F50" s="231">
        <f>+'ANALISIS OCI'!AA47</f>
        <v>0</v>
      </c>
      <c r="G50" s="232">
        <f t="shared" si="20"/>
        <v>0</v>
      </c>
      <c r="H50" s="220">
        <f t="shared" si="21"/>
        <v>0</v>
      </c>
      <c r="I50" s="221">
        <f t="shared" si="22"/>
        <v>0</v>
      </c>
      <c r="J50" s="217" t="e">
        <f>'ANALISIS OCI'!AC47</f>
        <v>#DIV/0!</v>
      </c>
      <c r="K50" s="218" t="e">
        <f t="shared" si="9"/>
        <v>#DIV/0!</v>
      </c>
      <c r="L50" s="219" t="e">
        <f t="shared" si="6"/>
        <v>#DIV/0!</v>
      </c>
      <c r="M50" s="233"/>
      <c r="N50" s="234">
        <f t="shared" si="23"/>
        <v>0</v>
      </c>
      <c r="O50" s="235"/>
      <c r="P50" s="236">
        <f t="shared" si="24"/>
        <v>0</v>
      </c>
      <c r="Q50" s="222"/>
      <c r="R50" s="223">
        <f t="shared" si="25"/>
        <v>45291</v>
      </c>
      <c r="S50" s="237">
        <f t="shared" si="26"/>
        <v>0.3</v>
      </c>
      <c r="T50" s="174" t="e">
        <f t="shared" si="27"/>
        <v>#DIV/0!</v>
      </c>
      <c r="U50" s="187" t="e">
        <f t="shared" si="8"/>
        <v>#DIV/0!</v>
      </c>
    </row>
    <row r="51" spans="2:21" ht="63" customHeight="1" thickBot="1" x14ac:dyDescent="0.35">
      <c r="B51" s="240" t="s">
        <v>309</v>
      </c>
      <c r="C51" s="230">
        <f>+'ANALISIS OCI'!X48</f>
        <v>0</v>
      </c>
      <c r="D51" s="231">
        <f>+'ANALISIS OCI'!Y48</f>
        <v>0</v>
      </c>
      <c r="E51" s="231">
        <f>+'ANALISIS OCI'!Z48</f>
        <v>0</v>
      </c>
      <c r="F51" s="231">
        <f>+'ANALISIS OCI'!AA48</f>
        <v>0</v>
      </c>
      <c r="G51" s="232">
        <f t="shared" si="20"/>
        <v>0</v>
      </c>
      <c r="H51" s="220">
        <f t="shared" si="21"/>
        <v>0</v>
      </c>
      <c r="I51" s="221">
        <f t="shared" si="22"/>
        <v>0</v>
      </c>
      <c r="J51" s="217" t="e">
        <f>'ANALISIS OCI'!AC48</f>
        <v>#DIV/0!</v>
      </c>
      <c r="K51" s="218" t="e">
        <f t="shared" si="9"/>
        <v>#DIV/0!</v>
      </c>
      <c r="L51" s="219" t="e">
        <f t="shared" si="6"/>
        <v>#DIV/0!</v>
      </c>
      <c r="M51" s="233"/>
      <c r="N51" s="234">
        <f t="shared" si="23"/>
        <v>0</v>
      </c>
      <c r="O51" s="235"/>
      <c r="P51" s="236">
        <f t="shared" si="24"/>
        <v>0</v>
      </c>
      <c r="Q51" s="222"/>
      <c r="R51" s="223">
        <f t="shared" si="25"/>
        <v>45291</v>
      </c>
      <c r="S51" s="237">
        <f t="shared" si="26"/>
        <v>0.3</v>
      </c>
      <c r="T51" s="174" t="e">
        <f t="shared" si="27"/>
        <v>#DIV/0!</v>
      </c>
      <c r="U51" s="187" t="e">
        <f t="shared" si="8"/>
        <v>#DIV/0!</v>
      </c>
    </row>
    <row r="52" spans="2:21" ht="63" customHeight="1" thickBot="1" x14ac:dyDescent="0.35">
      <c r="B52" s="240" t="s">
        <v>310</v>
      </c>
      <c r="C52" s="230">
        <f>+'ANALISIS OCI'!X49</f>
        <v>0</v>
      </c>
      <c r="D52" s="231">
        <f>+'ANALISIS OCI'!Y49</f>
        <v>0</v>
      </c>
      <c r="E52" s="231">
        <f>+'ANALISIS OCI'!Z49</f>
        <v>0</v>
      </c>
      <c r="F52" s="231">
        <f>+'ANALISIS OCI'!AA49</f>
        <v>0</v>
      </c>
      <c r="G52" s="232">
        <f t="shared" si="20"/>
        <v>0</v>
      </c>
      <c r="H52" s="220">
        <f t="shared" si="21"/>
        <v>0</v>
      </c>
      <c r="I52" s="221">
        <f t="shared" si="22"/>
        <v>0</v>
      </c>
      <c r="J52" s="217" t="e">
        <f>'ANALISIS OCI'!AC49</f>
        <v>#DIV/0!</v>
      </c>
      <c r="K52" s="218" t="e">
        <f t="shared" si="9"/>
        <v>#DIV/0!</v>
      </c>
      <c r="L52" s="219" t="e">
        <f t="shared" si="6"/>
        <v>#DIV/0!</v>
      </c>
      <c r="M52" s="233"/>
      <c r="N52" s="234">
        <f t="shared" si="23"/>
        <v>0</v>
      </c>
      <c r="O52" s="235"/>
      <c r="P52" s="236">
        <f t="shared" si="24"/>
        <v>0</v>
      </c>
      <c r="Q52" s="222"/>
      <c r="R52" s="223">
        <f t="shared" si="25"/>
        <v>45291</v>
      </c>
      <c r="S52" s="237">
        <f t="shared" si="26"/>
        <v>0.3</v>
      </c>
      <c r="T52" s="174" t="e">
        <f t="shared" si="27"/>
        <v>#DIV/0!</v>
      </c>
      <c r="U52" s="187" t="e">
        <f t="shared" si="8"/>
        <v>#DIV/0!</v>
      </c>
    </row>
    <row r="53" spans="2:21" ht="63" customHeight="1" thickBot="1" x14ac:dyDescent="0.35">
      <c r="B53" s="240" t="s">
        <v>311</v>
      </c>
      <c r="C53" s="230">
        <f>+'ANALISIS OCI'!X50</f>
        <v>0</v>
      </c>
      <c r="D53" s="231">
        <f>+'ANALISIS OCI'!Y50</f>
        <v>0</v>
      </c>
      <c r="E53" s="231">
        <f>+'ANALISIS OCI'!Z50</f>
        <v>0</v>
      </c>
      <c r="F53" s="231">
        <f>+'ANALISIS OCI'!AA50</f>
        <v>0</v>
      </c>
      <c r="G53" s="232">
        <f t="shared" si="20"/>
        <v>0</v>
      </c>
      <c r="H53" s="220">
        <f t="shared" si="21"/>
        <v>0</v>
      </c>
      <c r="I53" s="221">
        <f t="shared" si="22"/>
        <v>0</v>
      </c>
      <c r="J53" s="217" t="e">
        <f>'ANALISIS OCI'!AC50</f>
        <v>#DIV/0!</v>
      </c>
      <c r="K53" s="218" t="e">
        <f t="shared" si="9"/>
        <v>#DIV/0!</v>
      </c>
      <c r="L53" s="219" t="e">
        <f t="shared" si="6"/>
        <v>#DIV/0!</v>
      </c>
      <c r="M53" s="233"/>
      <c r="N53" s="234">
        <f t="shared" si="23"/>
        <v>0</v>
      </c>
      <c r="O53" s="235"/>
      <c r="P53" s="236">
        <f t="shared" si="24"/>
        <v>0</v>
      </c>
      <c r="Q53" s="222"/>
      <c r="R53" s="223">
        <f t="shared" si="25"/>
        <v>45291</v>
      </c>
      <c r="S53" s="237">
        <f t="shared" si="26"/>
        <v>0.3</v>
      </c>
      <c r="T53" s="174" t="e">
        <f t="shared" si="27"/>
        <v>#DIV/0!</v>
      </c>
      <c r="U53" s="187" t="e">
        <f t="shared" si="8"/>
        <v>#DIV/0!</v>
      </c>
    </row>
    <row r="54" spans="2:21" ht="63" customHeight="1" thickBot="1" x14ac:dyDescent="0.35">
      <c r="B54" s="240" t="s">
        <v>312</v>
      </c>
      <c r="C54" s="230">
        <f>+'ANALISIS OCI'!X51</f>
        <v>0</v>
      </c>
      <c r="D54" s="231">
        <f>+'ANALISIS OCI'!Y51</f>
        <v>0</v>
      </c>
      <c r="E54" s="231">
        <f>+'ANALISIS OCI'!Z51</f>
        <v>0</v>
      </c>
      <c r="F54" s="231">
        <f>+'ANALISIS OCI'!AA51</f>
        <v>0</v>
      </c>
      <c r="G54" s="232">
        <f t="shared" si="20"/>
        <v>0</v>
      </c>
      <c r="H54" s="220">
        <f t="shared" si="21"/>
        <v>0</v>
      </c>
      <c r="I54" s="221">
        <f t="shared" si="22"/>
        <v>0</v>
      </c>
      <c r="J54" s="217" t="e">
        <f>'ANALISIS OCI'!AC51</f>
        <v>#DIV/0!</v>
      </c>
      <c r="K54" s="218" t="e">
        <f t="shared" si="9"/>
        <v>#DIV/0!</v>
      </c>
      <c r="L54" s="219" t="e">
        <f t="shared" si="6"/>
        <v>#DIV/0!</v>
      </c>
      <c r="M54" s="233"/>
      <c r="N54" s="234">
        <f t="shared" si="23"/>
        <v>0</v>
      </c>
      <c r="O54" s="235"/>
      <c r="P54" s="236">
        <f t="shared" si="24"/>
        <v>0</v>
      </c>
      <c r="Q54" s="222"/>
      <c r="R54" s="223">
        <f t="shared" si="25"/>
        <v>45291</v>
      </c>
      <c r="S54" s="237">
        <f t="shared" si="26"/>
        <v>0.3</v>
      </c>
      <c r="T54" s="174" t="e">
        <f t="shared" si="27"/>
        <v>#DIV/0!</v>
      </c>
      <c r="U54" s="187" t="e">
        <f t="shared" si="8"/>
        <v>#DIV/0!</v>
      </c>
    </row>
    <row r="55" spans="2:21" ht="63" customHeight="1" thickBot="1" x14ac:dyDescent="0.35">
      <c r="B55" s="242" t="s">
        <v>313</v>
      </c>
      <c r="C55" s="230">
        <f>+'ANALISIS OCI'!X52</f>
        <v>0</v>
      </c>
      <c r="D55" s="231">
        <f>+'ANALISIS OCI'!Y52</f>
        <v>0</v>
      </c>
      <c r="E55" s="231">
        <f>+'ANALISIS OCI'!Z52</f>
        <v>0</v>
      </c>
      <c r="F55" s="231">
        <f>+'ANALISIS OCI'!AA52</f>
        <v>0</v>
      </c>
      <c r="G55" s="232">
        <f t="shared" si="20"/>
        <v>0</v>
      </c>
      <c r="H55" s="220">
        <f t="shared" si="21"/>
        <v>0</v>
      </c>
      <c r="I55" s="221">
        <f t="shared" si="22"/>
        <v>0</v>
      </c>
      <c r="J55" s="217" t="e">
        <f>'ANALISIS OCI'!AC52</f>
        <v>#DIV/0!</v>
      </c>
      <c r="K55" s="218" t="e">
        <f t="shared" si="9"/>
        <v>#DIV/0!</v>
      </c>
      <c r="L55" s="219" t="e">
        <f t="shared" si="6"/>
        <v>#DIV/0!</v>
      </c>
      <c r="M55" s="233"/>
      <c r="N55" s="234">
        <f t="shared" si="23"/>
        <v>0</v>
      </c>
      <c r="O55" s="235"/>
      <c r="P55" s="236">
        <f t="shared" si="24"/>
        <v>0</v>
      </c>
      <c r="Q55" s="222"/>
      <c r="R55" s="223">
        <f t="shared" si="25"/>
        <v>45291</v>
      </c>
      <c r="S55" s="237">
        <f t="shared" si="26"/>
        <v>0.3</v>
      </c>
      <c r="T55" s="174" t="e">
        <f t="shared" si="27"/>
        <v>#DIV/0!</v>
      </c>
      <c r="U55" s="187" t="e">
        <f t="shared" si="8"/>
        <v>#DIV/0!</v>
      </c>
    </row>
    <row r="56" spans="2:21" ht="63" customHeight="1" thickBot="1" x14ac:dyDescent="0.35">
      <c r="B56" s="239" t="s">
        <v>314</v>
      </c>
      <c r="C56" s="230">
        <f>+'ANALISIS OCI'!X53</f>
        <v>0</v>
      </c>
      <c r="D56" s="231">
        <f>+'ANALISIS OCI'!Y53</f>
        <v>0</v>
      </c>
      <c r="E56" s="231">
        <f>+'ANALISIS OCI'!Z53</f>
        <v>0</v>
      </c>
      <c r="F56" s="231">
        <f>+'ANALISIS OCI'!AA53</f>
        <v>0</v>
      </c>
      <c r="G56" s="232">
        <f t="shared" si="20"/>
        <v>0</v>
      </c>
      <c r="H56" s="220">
        <f t="shared" si="21"/>
        <v>0</v>
      </c>
      <c r="I56" s="221">
        <f t="shared" si="22"/>
        <v>0</v>
      </c>
      <c r="J56" s="217" t="e">
        <f>'ANALISIS OCI'!AC53</f>
        <v>#DIV/0!</v>
      </c>
      <c r="K56" s="218" t="e">
        <f t="shared" si="9"/>
        <v>#DIV/0!</v>
      </c>
      <c r="L56" s="219" t="e">
        <f t="shared" si="6"/>
        <v>#DIV/0!</v>
      </c>
      <c r="M56" s="233"/>
      <c r="N56" s="234">
        <f t="shared" si="23"/>
        <v>0</v>
      </c>
      <c r="O56" s="235"/>
      <c r="P56" s="236">
        <f t="shared" si="24"/>
        <v>0</v>
      </c>
      <c r="Q56" s="222"/>
      <c r="R56" s="223">
        <f t="shared" si="25"/>
        <v>45291</v>
      </c>
      <c r="S56" s="237">
        <f t="shared" si="26"/>
        <v>0.3</v>
      </c>
      <c r="T56" s="174" t="e">
        <f t="shared" si="27"/>
        <v>#DIV/0!</v>
      </c>
      <c r="U56" s="187" t="e">
        <f t="shared" si="8"/>
        <v>#DIV/0!</v>
      </c>
    </row>
    <row r="57" spans="2:21" ht="63" customHeight="1" thickBot="1" x14ac:dyDescent="0.35">
      <c r="B57" s="175" t="s">
        <v>315</v>
      </c>
      <c r="C57" s="230">
        <f>+'ANALISIS OCI'!X54</f>
        <v>0</v>
      </c>
      <c r="D57" s="231">
        <f>+'ANALISIS OCI'!Y54</f>
        <v>0</v>
      </c>
      <c r="E57" s="231">
        <f>+'ANALISIS OCI'!Z54</f>
        <v>0</v>
      </c>
      <c r="F57" s="231">
        <f>+'ANALISIS OCI'!AA54</f>
        <v>0</v>
      </c>
      <c r="G57" s="232">
        <f t="shared" si="20"/>
        <v>0</v>
      </c>
      <c r="H57" s="220">
        <f t="shared" si="21"/>
        <v>0</v>
      </c>
      <c r="I57" s="221">
        <f t="shared" si="22"/>
        <v>0</v>
      </c>
      <c r="J57" s="217" t="e">
        <f>'ANALISIS OCI'!AC54</f>
        <v>#DIV/0!</v>
      </c>
      <c r="K57" s="218" t="e">
        <f t="shared" si="9"/>
        <v>#DIV/0!</v>
      </c>
      <c r="L57" s="219" t="e">
        <f t="shared" si="6"/>
        <v>#DIV/0!</v>
      </c>
      <c r="M57" s="233"/>
      <c r="N57" s="234">
        <f t="shared" si="23"/>
        <v>0</v>
      </c>
      <c r="O57" s="235"/>
      <c r="P57" s="236">
        <f t="shared" si="24"/>
        <v>0</v>
      </c>
      <c r="Q57" s="222"/>
      <c r="R57" s="223">
        <f t="shared" si="25"/>
        <v>45291</v>
      </c>
      <c r="S57" s="237">
        <f t="shared" si="26"/>
        <v>0.3</v>
      </c>
      <c r="T57" s="174" t="e">
        <f t="shared" si="27"/>
        <v>#DIV/0!</v>
      </c>
      <c r="U57" s="187" t="e">
        <f t="shared" si="8"/>
        <v>#DIV/0!</v>
      </c>
    </row>
    <row r="58" spans="2:21" ht="63" customHeight="1" thickBot="1" x14ac:dyDescent="0.35">
      <c r="B58" s="175" t="s">
        <v>316</v>
      </c>
      <c r="C58" s="230">
        <f>+'ANALISIS OCI'!X55</f>
        <v>0</v>
      </c>
      <c r="D58" s="231">
        <f>+'ANALISIS OCI'!Y55</f>
        <v>0</v>
      </c>
      <c r="E58" s="231">
        <f>+'ANALISIS OCI'!Z55</f>
        <v>0</v>
      </c>
      <c r="F58" s="231">
        <f>+'ANALISIS OCI'!AA55</f>
        <v>0</v>
      </c>
      <c r="G58" s="232">
        <f t="shared" si="20"/>
        <v>0</v>
      </c>
      <c r="H58" s="220">
        <f t="shared" si="21"/>
        <v>0</v>
      </c>
      <c r="I58" s="221">
        <f t="shared" si="22"/>
        <v>0</v>
      </c>
      <c r="J58" s="217" t="e">
        <f>'ANALISIS OCI'!AC55</f>
        <v>#DIV/0!</v>
      </c>
      <c r="K58" s="218" t="e">
        <f t="shared" si="9"/>
        <v>#DIV/0!</v>
      </c>
      <c r="L58" s="219" t="e">
        <f t="shared" si="6"/>
        <v>#DIV/0!</v>
      </c>
      <c r="M58" s="233"/>
      <c r="N58" s="234">
        <f t="shared" si="23"/>
        <v>0</v>
      </c>
      <c r="O58" s="235"/>
      <c r="P58" s="236">
        <f t="shared" si="24"/>
        <v>0</v>
      </c>
      <c r="Q58" s="222"/>
      <c r="R58" s="223">
        <f t="shared" si="25"/>
        <v>45291</v>
      </c>
      <c r="S58" s="237">
        <f t="shared" si="26"/>
        <v>0.3</v>
      </c>
      <c r="T58" s="174" t="e">
        <f t="shared" si="27"/>
        <v>#DIV/0!</v>
      </c>
      <c r="U58" s="187" t="e">
        <f t="shared" si="8"/>
        <v>#DIV/0!</v>
      </c>
    </row>
    <row r="59" spans="2:21" ht="63" customHeight="1" thickBot="1" x14ac:dyDescent="0.35">
      <c r="B59" s="175" t="s">
        <v>317</v>
      </c>
      <c r="C59" s="230">
        <f>+'ANALISIS OCI'!X56</f>
        <v>0</v>
      </c>
      <c r="D59" s="231">
        <f>+'ANALISIS OCI'!Y56</f>
        <v>0</v>
      </c>
      <c r="E59" s="231">
        <f>+'ANALISIS OCI'!Z56</f>
        <v>0</v>
      </c>
      <c r="F59" s="231">
        <f>+'ANALISIS OCI'!AA56</f>
        <v>0</v>
      </c>
      <c r="G59" s="232">
        <f t="shared" si="20"/>
        <v>0</v>
      </c>
      <c r="H59" s="220">
        <f t="shared" si="21"/>
        <v>0</v>
      </c>
      <c r="I59" s="221">
        <f t="shared" si="22"/>
        <v>0</v>
      </c>
      <c r="J59" s="217" t="e">
        <f>'ANALISIS OCI'!AC56</f>
        <v>#DIV/0!</v>
      </c>
      <c r="K59" s="218" t="e">
        <f t="shared" si="9"/>
        <v>#DIV/0!</v>
      </c>
      <c r="L59" s="219" t="e">
        <f t="shared" si="6"/>
        <v>#DIV/0!</v>
      </c>
      <c r="M59" s="233"/>
      <c r="N59" s="234">
        <f t="shared" si="23"/>
        <v>0</v>
      </c>
      <c r="O59" s="235"/>
      <c r="P59" s="236">
        <f t="shared" si="24"/>
        <v>0</v>
      </c>
      <c r="Q59" s="222"/>
      <c r="R59" s="223">
        <f t="shared" si="25"/>
        <v>45291</v>
      </c>
      <c r="S59" s="237">
        <f t="shared" si="26"/>
        <v>0.3</v>
      </c>
      <c r="T59" s="174" t="e">
        <f t="shared" si="27"/>
        <v>#DIV/0!</v>
      </c>
      <c r="U59" s="187" t="e">
        <f t="shared" si="8"/>
        <v>#DIV/0!</v>
      </c>
    </row>
    <row r="60" spans="2:21" ht="63" customHeight="1" thickBot="1" x14ac:dyDescent="0.35">
      <c r="B60" s="175" t="s">
        <v>318</v>
      </c>
      <c r="C60" s="230">
        <f>+'ANALISIS OCI'!X57</f>
        <v>0</v>
      </c>
      <c r="D60" s="231">
        <f>+'ANALISIS OCI'!Y57</f>
        <v>0</v>
      </c>
      <c r="E60" s="231">
        <f>+'ANALISIS OCI'!Z57</f>
        <v>0</v>
      </c>
      <c r="F60" s="231">
        <f>+'ANALISIS OCI'!AA57</f>
        <v>0</v>
      </c>
      <c r="G60" s="232">
        <f t="shared" si="20"/>
        <v>0</v>
      </c>
      <c r="H60" s="220">
        <f t="shared" si="21"/>
        <v>0</v>
      </c>
      <c r="I60" s="221">
        <f t="shared" si="22"/>
        <v>0</v>
      </c>
      <c r="J60" s="217" t="e">
        <f>'ANALISIS OCI'!AC57</f>
        <v>#DIV/0!</v>
      </c>
      <c r="K60" s="218" t="e">
        <f t="shared" si="9"/>
        <v>#DIV/0!</v>
      </c>
      <c r="L60" s="219" t="e">
        <f t="shared" si="6"/>
        <v>#DIV/0!</v>
      </c>
      <c r="M60" s="233"/>
      <c r="N60" s="234">
        <f t="shared" si="23"/>
        <v>0</v>
      </c>
      <c r="O60" s="235"/>
      <c r="P60" s="236">
        <f t="shared" si="24"/>
        <v>0</v>
      </c>
      <c r="Q60" s="222"/>
      <c r="R60" s="223">
        <f t="shared" si="25"/>
        <v>45291</v>
      </c>
      <c r="S60" s="237">
        <f t="shared" si="26"/>
        <v>0.3</v>
      </c>
      <c r="T60" s="174" t="e">
        <f t="shared" si="27"/>
        <v>#DIV/0!</v>
      </c>
      <c r="U60" s="187" t="e">
        <f t="shared" si="8"/>
        <v>#DIV/0!</v>
      </c>
    </row>
    <row r="61" spans="2:21" ht="63" customHeight="1" thickBot="1" x14ac:dyDescent="0.35">
      <c r="B61" s="175" t="s">
        <v>319</v>
      </c>
      <c r="C61" s="230">
        <f>+'ANALISIS OCI'!X58</f>
        <v>0</v>
      </c>
      <c r="D61" s="231">
        <f>+'ANALISIS OCI'!Y58</f>
        <v>0</v>
      </c>
      <c r="E61" s="231">
        <f>+'ANALISIS OCI'!Z58</f>
        <v>0</v>
      </c>
      <c r="F61" s="231">
        <f>+'ANALISIS OCI'!AA58</f>
        <v>0</v>
      </c>
      <c r="G61" s="232">
        <f t="shared" si="20"/>
        <v>0</v>
      </c>
      <c r="H61" s="220">
        <f t="shared" si="21"/>
        <v>0</v>
      </c>
      <c r="I61" s="221">
        <f t="shared" si="22"/>
        <v>0</v>
      </c>
      <c r="J61" s="217" t="e">
        <f>'ANALISIS OCI'!AC58</f>
        <v>#DIV/0!</v>
      </c>
      <c r="K61" s="218" t="e">
        <f t="shared" si="9"/>
        <v>#DIV/0!</v>
      </c>
      <c r="L61" s="219" t="e">
        <f t="shared" si="6"/>
        <v>#DIV/0!</v>
      </c>
      <c r="M61" s="233"/>
      <c r="N61" s="234">
        <f t="shared" si="23"/>
        <v>0</v>
      </c>
      <c r="O61" s="235"/>
      <c r="P61" s="236">
        <f t="shared" si="24"/>
        <v>0</v>
      </c>
      <c r="Q61" s="222"/>
      <c r="R61" s="223">
        <f t="shared" si="25"/>
        <v>45291</v>
      </c>
      <c r="S61" s="237">
        <f t="shared" si="26"/>
        <v>0.3</v>
      </c>
      <c r="T61" s="174" t="e">
        <f t="shared" si="27"/>
        <v>#DIV/0!</v>
      </c>
      <c r="U61" s="187" t="e">
        <f t="shared" si="8"/>
        <v>#DIV/0!</v>
      </c>
    </row>
    <row r="62" spans="2:21" ht="63" customHeight="1" thickBot="1" x14ac:dyDescent="0.35">
      <c r="B62" s="175" t="s">
        <v>320</v>
      </c>
      <c r="C62" s="230">
        <f>+'ANALISIS OCI'!X59</f>
        <v>0</v>
      </c>
      <c r="D62" s="231">
        <f>+'ANALISIS OCI'!Y59</f>
        <v>0</v>
      </c>
      <c r="E62" s="231">
        <f>+'ANALISIS OCI'!Z59</f>
        <v>0</v>
      </c>
      <c r="F62" s="231">
        <f>+'ANALISIS OCI'!AA59</f>
        <v>0</v>
      </c>
      <c r="G62" s="232">
        <f t="shared" si="20"/>
        <v>0</v>
      </c>
      <c r="H62" s="220">
        <f t="shared" si="21"/>
        <v>0</v>
      </c>
      <c r="I62" s="221">
        <f t="shared" si="22"/>
        <v>0</v>
      </c>
      <c r="J62" s="217" t="e">
        <f>'ANALISIS OCI'!AC59</f>
        <v>#DIV/0!</v>
      </c>
      <c r="K62" s="218" t="e">
        <f t="shared" si="9"/>
        <v>#DIV/0!</v>
      </c>
      <c r="L62" s="219" t="e">
        <f t="shared" si="6"/>
        <v>#DIV/0!</v>
      </c>
      <c r="M62" s="233"/>
      <c r="N62" s="234">
        <f t="shared" si="23"/>
        <v>0</v>
      </c>
      <c r="O62" s="235"/>
      <c r="P62" s="236">
        <f t="shared" si="24"/>
        <v>0</v>
      </c>
      <c r="Q62" s="222"/>
      <c r="R62" s="223">
        <f t="shared" si="25"/>
        <v>45291</v>
      </c>
      <c r="S62" s="237">
        <f t="shared" si="26"/>
        <v>0.3</v>
      </c>
      <c r="T62" s="174" t="e">
        <f t="shared" si="27"/>
        <v>#DIV/0!</v>
      </c>
      <c r="U62" s="187" t="e">
        <f t="shared" si="8"/>
        <v>#DIV/0!</v>
      </c>
    </row>
    <row r="63" spans="2:21" ht="63" customHeight="1" thickBot="1" x14ac:dyDescent="0.35">
      <c r="B63" s="175" t="s">
        <v>321</v>
      </c>
      <c r="C63" s="230">
        <f>+'ANALISIS OCI'!X60</f>
        <v>0</v>
      </c>
      <c r="D63" s="231">
        <f>+'ANALISIS OCI'!Y60</f>
        <v>0</v>
      </c>
      <c r="E63" s="231">
        <f>+'ANALISIS OCI'!Z60</f>
        <v>0</v>
      </c>
      <c r="F63" s="231">
        <f>+'ANALISIS OCI'!AA60</f>
        <v>0</v>
      </c>
      <c r="G63" s="232">
        <f t="shared" si="20"/>
        <v>0</v>
      </c>
      <c r="H63" s="220">
        <f t="shared" si="21"/>
        <v>0</v>
      </c>
      <c r="I63" s="221">
        <f t="shared" si="22"/>
        <v>0</v>
      </c>
      <c r="J63" s="217" t="e">
        <f>'ANALISIS OCI'!AC60</f>
        <v>#DIV/0!</v>
      </c>
      <c r="K63" s="218" t="e">
        <f t="shared" si="9"/>
        <v>#DIV/0!</v>
      </c>
      <c r="L63" s="219" t="e">
        <f t="shared" si="6"/>
        <v>#DIV/0!</v>
      </c>
      <c r="M63" s="233"/>
      <c r="N63" s="234">
        <f t="shared" si="23"/>
        <v>0</v>
      </c>
      <c r="O63" s="235"/>
      <c r="P63" s="236">
        <f t="shared" si="24"/>
        <v>0</v>
      </c>
      <c r="Q63" s="222"/>
      <c r="R63" s="223">
        <f t="shared" si="25"/>
        <v>45291</v>
      </c>
      <c r="S63" s="237">
        <f t="shared" si="26"/>
        <v>0.3</v>
      </c>
      <c r="T63" s="174" t="e">
        <f t="shared" si="27"/>
        <v>#DIV/0!</v>
      </c>
      <c r="U63" s="187" t="e">
        <f t="shared" si="8"/>
        <v>#DIV/0!</v>
      </c>
    </row>
    <row r="64" spans="2:21" ht="63" customHeight="1" thickBot="1" x14ac:dyDescent="0.35">
      <c r="B64" s="175" t="s">
        <v>322</v>
      </c>
      <c r="C64" s="230">
        <f>+'ANALISIS OCI'!X61</f>
        <v>0</v>
      </c>
      <c r="D64" s="231">
        <f>+'ANALISIS OCI'!Y61</f>
        <v>0</v>
      </c>
      <c r="E64" s="231">
        <f>+'ANALISIS OCI'!Z61</f>
        <v>0</v>
      </c>
      <c r="F64" s="231">
        <f>+'ANALISIS OCI'!AA61</f>
        <v>0</v>
      </c>
      <c r="G64" s="232">
        <f t="shared" si="20"/>
        <v>0</v>
      </c>
      <c r="H64" s="220">
        <f t="shared" si="21"/>
        <v>0</v>
      </c>
      <c r="I64" s="221">
        <f t="shared" si="22"/>
        <v>0</v>
      </c>
      <c r="J64" s="217" t="e">
        <f>'ANALISIS OCI'!AC61</f>
        <v>#DIV/0!</v>
      </c>
      <c r="K64" s="218" t="e">
        <f t="shared" si="9"/>
        <v>#DIV/0!</v>
      </c>
      <c r="L64" s="219" t="e">
        <f t="shared" si="6"/>
        <v>#DIV/0!</v>
      </c>
      <c r="M64" s="233"/>
      <c r="N64" s="234">
        <f t="shared" si="23"/>
        <v>0</v>
      </c>
      <c r="O64" s="235"/>
      <c r="P64" s="236">
        <f t="shared" si="24"/>
        <v>0</v>
      </c>
      <c r="Q64" s="222"/>
      <c r="R64" s="223">
        <f t="shared" si="25"/>
        <v>45291</v>
      </c>
      <c r="S64" s="237">
        <f t="shared" si="26"/>
        <v>0.3</v>
      </c>
      <c r="T64" s="174" t="e">
        <f t="shared" si="27"/>
        <v>#DIV/0!</v>
      </c>
      <c r="U64" s="187" t="e">
        <f t="shared" si="8"/>
        <v>#DIV/0!</v>
      </c>
    </row>
    <row r="65" spans="2:21" ht="63" customHeight="1" thickBot="1" x14ac:dyDescent="0.35">
      <c r="B65" s="175" t="s">
        <v>323</v>
      </c>
      <c r="C65" s="230">
        <f>+'ANALISIS OCI'!X62</f>
        <v>0</v>
      </c>
      <c r="D65" s="231">
        <f>+'ANALISIS OCI'!Y62</f>
        <v>0</v>
      </c>
      <c r="E65" s="231">
        <f>+'ANALISIS OCI'!Z62</f>
        <v>0</v>
      </c>
      <c r="F65" s="231">
        <f>+'ANALISIS OCI'!AA62</f>
        <v>0</v>
      </c>
      <c r="G65" s="232">
        <f t="shared" si="20"/>
        <v>0</v>
      </c>
      <c r="H65" s="220">
        <f t="shared" si="21"/>
        <v>0</v>
      </c>
      <c r="I65" s="221">
        <f t="shared" si="22"/>
        <v>0</v>
      </c>
      <c r="J65" s="217" t="e">
        <f>'ANALISIS OCI'!AC62</f>
        <v>#DIV/0!</v>
      </c>
      <c r="K65" s="218" t="e">
        <f t="shared" si="9"/>
        <v>#DIV/0!</v>
      </c>
      <c r="L65" s="219" t="e">
        <f t="shared" si="6"/>
        <v>#DIV/0!</v>
      </c>
      <c r="M65" s="233"/>
      <c r="N65" s="234">
        <f t="shared" si="23"/>
        <v>0</v>
      </c>
      <c r="O65" s="235"/>
      <c r="P65" s="236">
        <f t="shared" si="24"/>
        <v>0</v>
      </c>
      <c r="Q65" s="222"/>
      <c r="R65" s="223">
        <f t="shared" si="25"/>
        <v>45291</v>
      </c>
      <c r="S65" s="237">
        <f t="shared" si="26"/>
        <v>0.3</v>
      </c>
      <c r="T65" s="174" t="e">
        <f t="shared" si="27"/>
        <v>#DIV/0!</v>
      </c>
      <c r="U65" s="187" t="e">
        <f t="shared" si="8"/>
        <v>#DIV/0!</v>
      </c>
    </row>
    <row r="66" spans="2:21" ht="63" customHeight="1" thickBot="1" x14ac:dyDescent="0.35">
      <c r="B66" s="175" t="s">
        <v>324</v>
      </c>
      <c r="C66" s="230">
        <f>+'ANALISIS OCI'!X63</f>
        <v>0</v>
      </c>
      <c r="D66" s="231">
        <f>+'ANALISIS OCI'!Y63</f>
        <v>0</v>
      </c>
      <c r="E66" s="231">
        <f>+'ANALISIS OCI'!Z63</f>
        <v>0</v>
      </c>
      <c r="F66" s="231">
        <f>+'ANALISIS OCI'!AA63</f>
        <v>0</v>
      </c>
      <c r="G66" s="232">
        <f t="shared" si="20"/>
        <v>0</v>
      </c>
      <c r="H66" s="220">
        <f t="shared" si="21"/>
        <v>0</v>
      </c>
      <c r="I66" s="221">
        <f t="shared" si="22"/>
        <v>0</v>
      </c>
      <c r="J66" s="217" t="e">
        <f>'ANALISIS OCI'!AC63</f>
        <v>#DIV/0!</v>
      </c>
      <c r="K66" s="218" t="e">
        <f t="shared" si="9"/>
        <v>#DIV/0!</v>
      </c>
      <c r="L66" s="219" t="e">
        <f t="shared" si="6"/>
        <v>#DIV/0!</v>
      </c>
      <c r="M66" s="233"/>
      <c r="N66" s="234">
        <f t="shared" si="23"/>
        <v>0</v>
      </c>
      <c r="O66" s="235"/>
      <c r="P66" s="236">
        <f t="shared" si="24"/>
        <v>0</v>
      </c>
      <c r="Q66" s="222"/>
      <c r="R66" s="223">
        <f t="shared" si="25"/>
        <v>45291</v>
      </c>
      <c r="S66" s="237">
        <f t="shared" si="26"/>
        <v>0.3</v>
      </c>
      <c r="T66" s="174" t="e">
        <f t="shared" si="27"/>
        <v>#DIV/0!</v>
      </c>
      <c r="U66" s="187" t="e">
        <f t="shared" si="8"/>
        <v>#DIV/0!</v>
      </c>
    </row>
    <row r="67" spans="2:21" ht="63" customHeight="1" thickBot="1" x14ac:dyDescent="0.35">
      <c r="B67" s="175" t="s">
        <v>325</v>
      </c>
      <c r="C67" s="230">
        <f>+'ANALISIS OCI'!X64</f>
        <v>0</v>
      </c>
      <c r="D67" s="231">
        <f>+'ANALISIS OCI'!Y64</f>
        <v>0</v>
      </c>
      <c r="E67" s="231">
        <f>+'ANALISIS OCI'!Z64</f>
        <v>0</v>
      </c>
      <c r="F67" s="231">
        <f>+'ANALISIS OCI'!AA64</f>
        <v>0</v>
      </c>
      <c r="G67" s="232">
        <f t="shared" si="20"/>
        <v>0</v>
      </c>
      <c r="H67" s="220">
        <f t="shared" si="21"/>
        <v>0</v>
      </c>
      <c r="I67" s="221">
        <f t="shared" si="22"/>
        <v>0</v>
      </c>
      <c r="J67" s="217" t="e">
        <f>'ANALISIS OCI'!AC64</f>
        <v>#DIV/0!</v>
      </c>
      <c r="K67" s="218" t="e">
        <f t="shared" si="9"/>
        <v>#DIV/0!</v>
      </c>
      <c r="L67" s="219" t="e">
        <f t="shared" si="6"/>
        <v>#DIV/0!</v>
      </c>
      <c r="M67" s="233"/>
      <c r="N67" s="234">
        <f t="shared" si="23"/>
        <v>0</v>
      </c>
      <c r="O67" s="235"/>
      <c r="P67" s="236">
        <f t="shared" si="24"/>
        <v>0</v>
      </c>
      <c r="Q67" s="222"/>
      <c r="R67" s="223">
        <f t="shared" si="25"/>
        <v>45291</v>
      </c>
      <c r="S67" s="237">
        <f t="shared" si="26"/>
        <v>0.3</v>
      </c>
      <c r="T67" s="174" t="e">
        <f t="shared" si="27"/>
        <v>#DIV/0!</v>
      </c>
      <c r="U67" s="187" t="e">
        <f t="shared" si="8"/>
        <v>#DIV/0!</v>
      </c>
    </row>
    <row r="68" spans="2:21" ht="63" customHeight="1" thickBot="1" x14ac:dyDescent="0.35">
      <c r="B68" s="175" t="s">
        <v>326</v>
      </c>
      <c r="C68" s="230">
        <f>+'ANALISIS OCI'!X65</f>
        <v>0</v>
      </c>
      <c r="D68" s="231">
        <f>+'ANALISIS OCI'!Y65</f>
        <v>0</v>
      </c>
      <c r="E68" s="231">
        <f>+'ANALISIS OCI'!Z65</f>
        <v>0</v>
      </c>
      <c r="F68" s="231">
        <f>+'ANALISIS OCI'!AA65</f>
        <v>0</v>
      </c>
      <c r="G68" s="232">
        <f t="shared" si="20"/>
        <v>0</v>
      </c>
      <c r="H68" s="220">
        <f t="shared" si="21"/>
        <v>0</v>
      </c>
      <c r="I68" s="221">
        <f t="shared" si="22"/>
        <v>0</v>
      </c>
      <c r="J68" s="217" t="e">
        <f>'ANALISIS OCI'!AC65</f>
        <v>#DIV/0!</v>
      </c>
      <c r="K68" s="218" t="e">
        <f t="shared" si="9"/>
        <v>#DIV/0!</v>
      </c>
      <c r="L68" s="219" t="e">
        <f t="shared" si="6"/>
        <v>#DIV/0!</v>
      </c>
      <c r="M68" s="233"/>
      <c r="N68" s="234">
        <f t="shared" si="23"/>
        <v>0</v>
      </c>
      <c r="O68" s="235"/>
      <c r="P68" s="236">
        <f t="shared" si="24"/>
        <v>0</v>
      </c>
      <c r="Q68" s="222"/>
      <c r="R68" s="223">
        <f t="shared" si="25"/>
        <v>45291</v>
      </c>
      <c r="S68" s="237">
        <f t="shared" si="26"/>
        <v>0.3</v>
      </c>
      <c r="T68" s="174" t="e">
        <f t="shared" si="27"/>
        <v>#DIV/0!</v>
      </c>
      <c r="U68" s="187" t="e">
        <f t="shared" si="8"/>
        <v>#DIV/0!</v>
      </c>
    </row>
    <row r="69" spans="2:21" ht="63" customHeight="1" thickBot="1" x14ac:dyDescent="0.35">
      <c r="B69" s="175" t="s">
        <v>327</v>
      </c>
      <c r="C69" s="230">
        <f>+'ANALISIS OCI'!X66</f>
        <v>0</v>
      </c>
      <c r="D69" s="231">
        <f>+'ANALISIS OCI'!Y66</f>
        <v>0</v>
      </c>
      <c r="E69" s="231">
        <f>+'ANALISIS OCI'!Z66</f>
        <v>0</v>
      </c>
      <c r="F69" s="231">
        <f>+'ANALISIS OCI'!AA66</f>
        <v>0</v>
      </c>
      <c r="G69" s="232">
        <f t="shared" si="20"/>
        <v>0</v>
      </c>
      <c r="H69" s="220">
        <f t="shared" si="21"/>
        <v>0</v>
      </c>
      <c r="I69" s="221">
        <f t="shared" si="22"/>
        <v>0</v>
      </c>
      <c r="J69" s="217" t="e">
        <f>'ANALISIS OCI'!AC66</f>
        <v>#DIV/0!</v>
      </c>
      <c r="K69" s="218" t="e">
        <f t="shared" si="9"/>
        <v>#DIV/0!</v>
      </c>
      <c r="L69" s="219" t="e">
        <f t="shared" si="6"/>
        <v>#DIV/0!</v>
      </c>
      <c r="M69" s="233"/>
      <c r="N69" s="234">
        <f t="shared" si="23"/>
        <v>0</v>
      </c>
      <c r="O69" s="235"/>
      <c r="P69" s="236">
        <f t="shared" si="24"/>
        <v>0</v>
      </c>
      <c r="Q69" s="222"/>
      <c r="R69" s="223">
        <f t="shared" si="25"/>
        <v>45291</v>
      </c>
      <c r="S69" s="237">
        <f t="shared" si="26"/>
        <v>0.3</v>
      </c>
      <c r="T69" s="174" t="e">
        <f t="shared" si="27"/>
        <v>#DIV/0!</v>
      </c>
      <c r="U69" s="187" t="e">
        <f t="shared" si="8"/>
        <v>#DIV/0!</v>
      </c>
    </row>
    <row r="70" spans="2:21" ht="63" customHeight="1" thickBot="1" x14ac:dyDescent="0.35">
      <c r="B70" s="175" t="s">
        <v>328</v>
      </c>
      <c r="C70" s="230">
        <f>+'ANALISIS OCI'!X67</f>
        <v>0</v>
      </c>
      <c r="D70" s="231">
        <f>+'ANALISIS OCI'!Y67</f>
        <v>0</v>
      </c>
      <c r="E70" s="231">
        <f>+'ANALISIS OCI'!Z67</f>
        <v>0</v>
      </c>
      <c r="F70" s="231">
        <f>+'ANALISIS OCI'!AA67</f>
        <v>0</v>
      </c>
      <c r="G70" s="232">
        <f t="shared" si="20"/>
        <v>0</v>
      </c>
      <c r="H70" s="220">
        <f t="shared" si="21"/>
        <v>0</v>
      </c>
      <c r="I70" s="221">
        <f t="shared" si="22"/>
        <v>0</v>
      </c>
      <c r="J70" s="217" t="e">
        <f>'ANALISIS OCI'!AC67</f>
        <v>#DIV/0!</v>
      </c>
      <c r="K70" s="218" t="e">
        <f t="shared" si="9"/>
        <v>#DIV/0!</v>
      </c>
      <c r="L70" s="219" t="e">
        <f t="shared" si="6"/>
        <v>#DIV/0!</v>
      </c>
      <c r="M70" s="233"/>
      <c r="N70" s="234">
        <f t="shared" si="23"/>
        <v>0</v>
      </c>
      <c r="O70" s="235"/>
      <c r="P70" s="236">
        <f t="shared" si="24"/>
        <v>0</v>
      </c>
      <c r="Q70" s="222"/>
      <c r="R70" s="223">
        <f t="shared" si="25"/>
        <v>45291</v>
      </c>
      <c r="S70" s="237">
        <f t="shared" si="26"/>
        <v>0.3</v>
      </c>
      <c r="T70" s="174" t="e">
        <f t="shared" si="27"/>
        <v>#DIV/0!</v>
      </c>
      <c r="U70" s="187" t="e">
        <f t="shared" si="8"/>
        <v>#DIV/0!</v>
      </c>
    </row>
    <row r="71" spans="2:21" ht="63" customHeight="1" thickBot="1" x14ac:dyDescent="0.35">
      <c r="B71" s="175" t="s">
        <v>329</v>
      </c>
      <c r="C71" s="230">
        <f>+'ANALISIS OCI'!X68</f>
        <v>0</v>
      </c>
      <c r="D71" s="231">
        <f>+'ANALISIS OCI'!Y68</f>
        <v>0</v>
      </c>
      <c r="E71" s="231">
        <f>+'ANALISIS OCI'!Z68</f>
        <v>0</v>
      </c>
      <c r="F71" s="231">
        <f>+'ANALISIS OCI'!AA68</f>
        <v>0</v>
      </c>
      <c r="G71" s="232">
        <f t="shared" si="20"/>
        <v>0</v>
      </c>
      <c r="H71" s="220">
        <f t="shared" si="21"/>
        <v>0</v>
      </c>
      <c r="I71" s="221">
        <f t="shared" si="22"/>
        <v>0</v>
      </c>
      <c r="J71" s="217" t="e">
        <f>'ANALISIS OCI'!AC68</f>
        <v>#DIV/0!</v>
      </c>
      <c r="K71" s="218" t="e">
        <f t="shared" si="9"/>
        <v>#DIV/0!</v>
      </c>
      <c r="L71" s="219" t="e">
        <f t="shared" si="6"/>
        <v>#DIV/0!</v>
      </c>
      <c r="M71" s="233"/>
      <c r="N71" s="234">
        <f t="shared" si="23"/>
        <v>0</v>
      </c>
      <c r="O71" s="235"/>
      <c r="P71" s="236">
        <f t="shared" si="24"/>
        <v>0</v>
      </c>
      <c r="Q71" s="222"/>
      <c r="R71" s="223">
        <f t="shared" si="25"/>
        <v>45291</v>
      </c>
      <c r="S71" s="237">
        <f t="shared" si="26"/>
        <v>0.3</v>
      </c>
      <c r="T71" s="174" t="e">
        <f t="shared" si="27"/>
        <v>#DIV/0!</v>
      </c>
      <c r="U71" s="187" t="e">
        <f t="shared" si="8"/>
        <v>#DIV/0!</v>
      </c>
    </row>
    <row r="72" spans="2:21" ht="63" customHeight="1" thickBot="1" x14ac:dyDescent="0.35">
      <c r="B72" s="175" t="s">
        <v>330</v>
      </c>
      <c r="C72" s="230">
        <f>+'ANALISIS OCI'!X69</f>
        <v>0</v>
      </c>
      <c r="D72" s="231">
        <f>+'ANALISIS OCI'!Y69</f>
        <v>0</v>
      </c>
      <c r="E72" s="231">
        <f>+'ANALISIS OCI'!Z69</f>
        <v>0</v>
      </c>
      <c r="F72" s="231">
        <f>+'ANALISIS OCI'!AA69</f>
        <v>0</v>
      </c>
      <c r="G72" s="232">
        <f t="shared" si="20"/>
        <v>0</v>
      </c>
      <c r="H72" s="220">
        <f t="shared" si="21"/>
        <v>0</v>
      </c>
      <c r="I72" s="221">
        <f t="shared" si="22"/>
        <v>0</v>
      </c>
      <c r="J72" s="217" t="e">
        <f>'ANALISIS OCI'!AC69</f>
        <v>#DIV/0!</v>
      </c>
      <c r="K72" s="218" t="e">
        <f t="shared" si="9"/>
        <v>#DIV/0!</v>
      </c>
      <c r="L72" s="219" t="e">
        <f t="shared" si="6"/>
        <v>#DIV/0!</v>
      </c>
      <c r="M72" s="233"/>
      <c r="N72" s="234">
        <f t="shared" si="23"/>
        <v>0</v>
      </c>
      <c r="O72" s="235"/>
      <c r="P72" s="236">
        <f t="shared" si="24"/>
        <v>0</v>
      </c>
      <c r="Q72" s="222"/>
      <c r="R72" s="223">
        <f t="shared" si="25"/>
        <v>45291</v>
      </c>
      <c r="S72" s="237">
        <f t="shared" si="26"/>
        <v>0.3</v>
      </c>
      <c r="T72" s="174" t="e">
        <f t="shared" si="27"/>
        <v>#DIV/0!</v>
      </c>
      <c r="U72" s="187" t="e">
        <f t="shared" si="8"/>
        <v>#DIV/0!</v>
      </c>
    </row>
    <row r="73" spans="2:21" ht="63" customHeight="1" thickBot="1" x14ac:dyDescent="0.35">
      <c r="B73" s="175" t="s">
        <v>331</v>
      </c>
      <c r="C73" s="230">
        <f>+'ANALISIS OCI'!X70</f>
        <v>0</v>
      </c>
      <c r="D73" s="231">
        <f>+'ANALISIS OCI'!Y70</f>
        <v>0</v>
      </c>
      <c r="E73" s="231">
        <f>+'ANALISIS OCI'!Z70</f>
        <v>0</v>
      </c>
      <c r="F73" s="231">
        <f>+'ANALISIS OCI'!AA70</f>
        <v>0</v>
      </c>
      <c r="G73" s="232">
        <f t="shared" si="20"/>
        <v>0</v>
      </c>
      <c r="H73" s="220">
        <f t="shared" si="21"/>
        <v>0</v>
      </c>
      <c r="I73" s="221">
        <f t="shared" si="22"/>
        <v>0</v>
      </c>
      <c r="J73" s="217" t="e">
        <f>'ANALISIS OCI'!AC70</f>
        <v>#DIV/0!</v>
      </c>
      <c r="K73" s="218" t="e">
        <f t="shared" si="9"/>
        <v>#DIV/0!</v>
      </c>
      <c r="L73" s="219" t="e">
        <f t="shared" si="6"/>
        <v>#DIV/0!</v>
      </c>
      <c r="M73" s="233"/>
      <c r="N73" s="234">
        <f t="shared" si="23"/>
        <v>0</v>
      </c>
      <c r="O73" s="235"/>
      <c r="P73" s="236">
        <f t="shared" si="24"/>
        <v>0</v>
      </c>
      <c r="Q73" s="222"/>
      <c r="R73" s="223">
        <f t="shared" si="25"/>
        <v>45291</v>
      </c>
      <c r="S73" s="237">
        <f t="shared" si="26"/>
        <v>0.3</v>
      </c>
      <c r="T73" s="174" t="e">
        <f t="shared" si="27"/>
        <v>#DIV/0!</v>
      </c>
      <c r="U73" s="187" t="e">
        <f t="shared" si="8"/>
        <v>#DIV/0!</v>
      </c>
    </row>
    <row r="74" spans="2:21" ht="63" customHeight="1" thickBot="1" x14ac:dyDescent="0.35">
      <c r="B74" s="175" t="s">
        <v>332</v>
      </c>
      <c r="C74" s="230">
        <f>+'ANALISIS OCI'!X71</f>
        <v>0</v>
      </c>
      <c r="D74" s="231">
        <f>+'ANALISIS OCI'!Y71</f>
        <v>0</v>
      </c>
      <c r="E74" s="231">
        <f>+'ANALISIS OCI'!Z71</f>
        <v>0</v>
      </c>
      <c r="F74" s="231">
        <f>+'ANALISIS OCI'!AA71</f>
        <v>0</v>
      </c>
      <c r="G74" s="232">
        <f t="shared" si="20"/>
        <v>0</v>
      </c>
      <c r="H74" s="220">
        <f t="shared" si="21"/>
        <v>0</v>
      </c>
      <c r="I74" s="221">
        <f t="shared" si="22"/>
        <v>0</v>
      </c>
      <c r="J74" s="217" t="e">
        <f>'ANALISIS OCI'!AC71</f>
        <v>#DIV/0!</v>
      </c>
      <c r="K74" s="218" t="e">
        <f t="shared" si="9"/>
        <v>#DIV/0!</v>
      </c>
      <c r="L74" s="219" t="e">
        <f t="shared" si="6"/>
        <v>#DIV/0!</v>
      </c>
      <c r="M74" s="233"/>
      <c r="N74" s="234">
        <f t="shared" si="23"/>
        <v>0</v>
      </c>
      <c r="O74" s="235"/>
      <c r="P74" s="236">
        <f t="shared" si="24"/>
        <v>0</v>
      </c>
      <c r="Q74" s="222"/>
      <c r="R74" s="223">
        <f t="shared" si="25"/>
        <v>45291</v>
      </c>
      <c r="S74" s="237">
        <f t="shared" si="26"/>
        <v>0.3</v>
      </c>
      <c r="T74" s="174" t="e">
        <f t="shared" si="27"/>
        <v>#DIV/0!</v>
      </c>
      <c r="U74" s="187" t="e">
        <f t="shared" si="8"/>
        <v>#DIV/0!</v>
      </c>
    </row>
    <row r="75" spans="2:21" ht="63" customHeight="1" thickBot="1" x14ac:dyDescent="0.35">
      <c r="B75" s="175" t="s">
        <v>333</v>
      </c>
      <c r="C75" s="230">
        <f>+'ANALISIS OCI'!X72</f>
        <v>0</v>
      </c>
      <c r="D75" s="231">
        <f>+'ANALISIS OCI'!Y72</f>
        <v>0</v>
      </c>
      <c r="E75" s="231">
        <f>+'ANALISIS OCI'!Z72</f>
        <v>0</v>
      </c>
      <c r="F75" s="231">
        <f>+'ANALISIS OCI'!AA72</f>
        <v>0</v>
      </c>
      <c r="G75" s="232">
        <f t="shared" si="20"/>
        <v>0</v>
      </c>
      <c r="H75" s="220">
        <f t="shared" si="21"/>
        <v>0</v>
      </c>
      <c r="I75" s="221">
        <f t="shared" si="22"/>
        <v>0</v>
      </c>
      <c r="J75" s="217" t="e">
        <f>'ANALISIS OCI'!AC72</f>
        <v>#DIV/0!</v>
      </c>
      <c r="K75" s="218" t="e">
        <f t="shared" si="9"/>
        <v>#DIV/0!</v>
      </c>
      <c r="L75" s="219" t="e">
        <f t="shared" si="6"/>
        <v>#DIV/0!</v>
      </c>
      <c r="M75" s="233"/>
      <c r="N75" s="234">
        <f t="shared" si="23"/>
        <v>0</v>
      </c>
      <c r="O75" s="235"/>
      <c r="P75" s="236">
        <f t="shared" si="24"/>
        <v>0</v>
      </c>
      <c r="Q75" s="222"/>
      <c r="R75" s="223">
        <f t="shared" si="25"/>
        <v>45291</v>
      </c>
      <c r="S75" s="237">
        <f t="shared" si="26"/>
        <v>0.3</v>
      </c>
      <c r="T75" s="174" t="e">
        <f t="shared" si="27"/>
        <v>#DIV/0!</v>
      </c>
      <c r="U75" s="187" t="e">
        <f t="shared" si="8"/>
        <v>#DIV/0!</v>
      </c>
    </row>
    <row r="76" spans="2:21" ht="63" customHeight="1" thickBot="1" x14ac:dyDescent="0.35">
      <c r="B76" s="175" t="s">
        <v>334</v>
      </c>
      <c r="C76" s="230">
        <f>+'ANALISIS OCI'!X73</f>
        <v>0</v>
      </c>
      <c r="D76" s="231">
        <f>+'ANALISIS OCI'!Y73</f>
        <v>0</v>
      </c>
      <c r="E76" s="231">
        <f>+'ANALISIS OCI'!Z73</f>
        <v>0</v>
      </c>
      <c r="F76" s="231">
        <f>+'ANALISIS OCI'!AA73</f>
        <v>0</v>
      </c>
      <c r="G76" s="232">
        <f t="shared" si="20"/>
        <v>0</v>
      </c>
      <c r="H76" s="220">
        <f t="shared" si="21"/>
        <v>0</v>
      </c>
      <c r="I76" s="221">
        <f t="shared" si="22"/>
        <v>0</v>
      </c>
      <c r="J76" s="217" t="e">
        <f>'ANALISIS OCI'!AC73</f>
        <v>#DIV/0!</v>
      </c>
      <c r="K76" s="218" t="e">
        <f t="shared" si="9"/>
        <v>#DIV/0!</v>
      </c>
      <c r="L76" s="219" t="e">
        <f t="shared" si="6"/>
        <v>#DIV/0!</v>
      </c>
      <c r="M76" s="233"/>
      <c r="N76" s="234">
        <f t="shared" si="23"/>
        <v>0</v>
      </c>
      <c r="O76" s="235"/>
      <c r="P76" s="236">
        <f t="shared" si="24"/>
        <v>0</v>
      </c>
      <c r="Q76" s="222"/>
      <c r="R76" s="223">
        <f t="shared" si="25"/>
        <v>45291</v>
      </c>
      <c r="S76" s="237">
        <f t="shared" si="26"/>
        <v>0.3</v>
      </c>
      <c r="T76" s="174" t="e">
        <f t="shared" si="27"/>
        <v>#DIV/0!</v>
      </c>
      <c r="U76" s="187" t="e">
        <f t="shared" si="8"/>
        <v>#DIV/0!</v>
      </c>
    </row>
    <row r="77" spans="2:21" ht="63" customHeight="1" thickBot="1" x14ac:dyDescent="0.35">
      <c r="B77" s="175" t="s">
        <v>335</v>
      </c>
      <c r="C77" s="230">
        <f>+'ANALISIS OCI'!X74</f>
        <v>0</v>
      </c>
      <c r="D77" s="231">
        <f>+'ANALISIS OCI'!Y74</f>
        <v>0</v>
      </c>
      <c r="E77" s="231">
        <f>+'ANALISIS OCI'!Z74</f>
        <v>0</v>
      </c>
      <c r="F77" s="231">
        <f>+'ANALISIS OCI'!AA74</f>
        <v>0</v>
      </c>
      <c r="G77" s="232">
        <f t="shared" si="20"/>
        <v>0</v>
      </c>
      <c r="H77" s="220">
        <f t="shared" si="21"/>
        <v>0</v>
      </c>
      <c r="I77" s="221">
        <f t="shared" si="22"/>
        <v>0</v>
      </c>
      <c r="J77" s="217" t="e">
        <f>'ANALISIS OCI'!AC74</f>
        <v>#DIV/0!</v>
      </c>
      <c r="K77" s="218" t="e">
        <f t="shared" si="9"/>
        <v>#DIV/0!</v>
      </c>
      <c r="L77" s="219" t="e">
        <f t="shared" si="6"/>
        <v>#DIV/0!</v>
      </c>
      <c r="M77" s="233"/>
      <c r="N77" s="234">
        <f t="shared" si="23"/>
        <v>0</v>
      </c>
      <c r="O77" s="235"/>
      <c r="P77" s="236">
        <f t="shared" si="24"/>
        <v>0</v>
      </c>
      <c r="Q77" s="222"/>
      <c r="R77" s="223">
        <f t="shared" si="25"/>
        <v>45291</v>
      </c>
      <c r="S77" s="237">
        <f t="shared" si="26"/>
        <v>0.3</v>
      </c>
      <c r="T77" s="174" t="e">
        <f t="shared" si="27"/>
        <v>#DIV/0!</v>
      </c>
      <c r="U77" s="187" t="e">
        <f t="shared" si="8"/>
        <v>#DIV/0!</v>
      </c>
    </row>
    <row r="78" spans="2:21" ht="63" customHeight="1" thickBot="1" x14ac:dyDescent="0.35">
      <c r="B78" s="175" t="s">
        <v>336</v>
      </c>
      <c r="C78" s="230">
        <f>+'ANALISIS OCI'!X75</f>
        <v>0</v>
      </c>
      <c r="D78" s="231">
        <f>+'ANALISIS OCI'!Y75</f>
        <v>0</v>
      </c>
      <c r="E78" s="231">
        <f>+'ANALISIS OCI'!Z75</f>
        <v>0</v>
      </c>
      <c r="F78" s="231">
        <f>+'ANALISIS OCI'!AA75</f>
        <v>0</v>
      </c>
      <c r="G78" s="232">
        <f t="shared" si="20"/>
        <v>0</v>
      </c>
      <c r="H78" s="220">
        <f t="shared" si="21"/>
        <v>0</v>
      </c>
      <c r="I78" s="221">
        <f t="shared" si="22"/>
        <v>0</v>
      </c>
      <c r="J78" s="217" t="e">
        <f>'ANALISIS OCI'!AC75</f>
        <v>#DIV/0!</v>
      </c>
      <c r="K78" s="218" t="e">
        <f t="shared" si="9"/>
        <v>#DIV/0!</v>
      </c>
      <c r="L78" s="219" t="e">
        <f t="shared" si="6"/>
        <v>#DIV/0!</v>
      </c>
      <c r="M78" s="233"/>
      <c r="N78" s="234">
        <f t="shared" si="23"/>
        <v>0</v>
      </c>
      <c r="O78" s="235"/>
      <c r="P78" s="236">
        <f t="shared" si="24"/>
        <v>0</v>
      </c>
      <c r="Q78" s="222"/>
      <c r="R78" s="223">
        <f t="shared" si="25"/>
        <v>45291</v>
      </c>
      <c r="S78" s="237">
        <f t="shared" si="26"/>
        <v>0.3</v>
      </c>
      <c r="T78" s="174" t="e">
        <f t="shared" si="27"/>
        <v>#DIV/0!</v>
      </c>
      <c r="U78" s="187" t="e">
        <f t="shared" si="8"/>
        <v>#DIV/0!</v>
      </c>
    </row>
    <row r="79" spans="2:21" ht="63" customHeight="1" thickBot="1" x14ac:dyDescent="0.35">
      <c r="B79" s="175" t="s">
        <v>337</v>
      </c>
      <c r="C79" s="230">
        <f>+'ANALISIS OCI'!X76</f>
        <v>0</v>
      </c>
      <c r="D79" s="231">
        <f>+'ANALISIS OCI'!Y76</f>
        <v>0</v>
      </c>
      <c r="E79" s="231">
        <f>+'ANALISIS OCI'!Z76</f>
        <v>0</v>
      </c>
      <c r="F79" s="231">
        <f>+'ANALISIS OCI'!AA76</f>
        <v>0</v>
      </c>
      <c r="G79" s="232">
        <f t="shared" si="20"/>
        <v>0</v>
      </c>
      <c r="H79" s="220">
        <f t="shared" si="21"/>
        <v>0</v>
      </c>
      <c r="I79" s="221">
        <f t="shared" si="22"/>
        <v>0</v>
      </c>
      <c r="J79" s="217" t="e">
        <f>'ANALISIS OCI'!AC76</f>
        <v>#DIV/0!</v>
      </c>
      <c r="K79" s="218" t="e">
        <f t="shared" si="9"/>
        <v>#DIV/0!</v>
      </c>
      <c r="L79" s="219" t="e">
        <f t="shared" ref="L79:L93" si="28">IF(I79=0,K79,I79)</f>
        <v>#DIV/0!</v>
      </c>
      <c r="M79" s="233"/>
      <c r="N79" s="234">
        <f t="shared" si="23"/>
        <v>0</v>
      </c>
      <c r="O79" s="235"/>
      <c r="P79" s="236">
        <f t="shared" si="24"/>
        <v>0</v>
      </c>
      <c r="Q79" s="222"/>
      <c r="R79" s="223">
        <f t="shared" si="25"/>
        <v>45291</v>
      </c>
      <c r="S79" s="237">
        <f t="shared" si="26"/>
        <v>0.3</v>
      </c>
      <c r="T79" s="174" t="e">
        <f t="shared" si="27"/>
        <v>#DIV/0!</v>
      </c>
      <c r="U79" s="187" t="e">
        <f t="shared" ref="U79:U93" si="29">+IF(T79&gt;=85%,$AB$12,IF(AND( T79&gt;65%,T79&lt;85%),$AB$13,$AB$14))</f>
        <v>#DIV/0!</v>
      </c>
    </row>
    <row r="80" spans="2:21" ht="63" customHeight="1" thickBot="1" x14ac:dyDescent="0.35">
      <c r="B80" s="175" t="s">
        <v>338</v>
      </c>
      <c r="C80" s="230">
        <f>+'ANALISIS OCI'!X77</f>
        <v>0</v>
      </c>
      <c r="D80" s="231">
        <f>+'ANALISIS OCI'!Y77</f>
        <v>0</v>
      </c>
      <c r="E80" s="231">
        <f>+'ANALISIS OCI'!Z77</f>
        <v>0</v>
      </c>
      <c r="F80" s="231">
        <f>+'ANALISIS OCI'!AA77</f>
        <v>0</v>
      </c>
      <c r="G80" s="232">
        <f t="shared" si="20"/>
        <v>0</v>
      </c>
      <c r="H80" s="220">
        <f t="shared" si="21"/>
        <v>0</v>
      </c>
      <c r="I80" s="221">
        <f t="shared" si="22"/>
        <v>0</v>
      </c>
      <c r="J80" s="217" t="e">
        <f>'ANALISIS OCI'!AC77</f>
        <v>#DIV/0!</v>
      </c>
      <c r="K80" s="218" t="e">
        <f t="shared" ref="K80:K93" si="30">(IF(J80="Extremo",50%,(IF(J80="Alto",40%,IF(J80="Moderado",15%,IF(J80="Bajo",10%,0))))))</f>
        <v>#DIV/0!</v>
      </c>
      <c r="L80" s="219" t="e">
        <f t="shared" si="28"/>
        <v>#DIV/0!</v>
      </c>
      <c r="M80" s="233"/>
      <c r="N80" s="234">
        <f t="shared" si="23"/>
        <v>0</v>
      </c>
      <c r="O80" s="235"/>
      <c r="P80" s="236">
        <f t="shared" si="24"/>
        <v>0</v>
      </c>
      <c r="Q80" s="222"/>
      <c r="R80" s="223">
        <f t="shared" si="25"/>
        <v>45291</v>
      </c>
      <c r="S80" s="237">
        <f t="shared" si="26"/>
        <v>0.3</v>
      </c>
      <c r="T80" s="174" t="e">
        <f t="shared" si="27"/>
        <v>#DIV/0!</v>
      </c>
      <c r="U80" s="187" t="e">
        <f t="shared" si="29"/>
        <v>#DIV/0!</v>
      </c>
    </row>
    <row r="81" spans="2:21" ht="63" customHeight="1" thickBot="1" x14ac:dyDescent="0.35">
      <c r="B81" s="175" t="s">
        <v>339</v>
      </c>
      <c r="C81" s="230">
        <f>+'ANALISIS OCI'!X78</f>
        <v>0</v>
      </c>
      <c r="D81" s="231">
        <f>+'ANALISIS OCI'!Y78</f>
        <v>0</v>
      </c>
      <c r="E81" s="231">
        <f>+'ANALISIS OCI'!Z78</f>
        <v>0</v>
      </c>
      <c r="F81" s="231">
        <f>+'ANALISIS OCI'!AA78</f>
        <v>0</v>
      </c>
      <c r="G81" s="232">
        <f t="shared" si="20"/>
        <v>0</v>
      </c>
      <c r="H81" s="220">
        <f t="shared" si="21"/>
        <v>0</v>
      </c>
      <c r="I81" s="221">
        <f t="shared" si="22"/>
        <v>0</v>
      </c>
      <c r="J81" s="217" t="e">
        <f>'ANALISIS OCI'!AC78</f>
        <v>#DIV/0!</v>
      </c>
      <c r="K81" s="218" t="e">
        <f t="shared" si="30"/>
        <v>#DIV/0!</v>
      </c>
      <c r="L81" s="219" t="e">
        <f t="shared" si="28"/>
        <v>#DIV/0!</v>
      </c>
      <c r="M81" s="233"/>
      <c r="N81" s="234">
        <f t="shared" si="23"/>
        <v>0</v>
      </c>
      <c r="O81" s="235"/>
      <c r="P81" s="236">
        <f t="shared" si="24"/>
        <v>0</v>
      </c>
      <c r="Q81" s="222"/>
      <c r="R81" s="223">
        <f t="shared" si="25"/>
        <v>45291</v>
      </c>
      <c r="S81" s="237">
        <f t="shared" si="26"/>
        <v>0.3</v>
      </c>
      <c r="T81" s="174" t="e">
        <f t="shared" si="27"/>
        <v>#DIV/0!</v>
      </c>
      <c r="U81" s="187" t="e">
        <f t="shared" si="29"/>
        <v>#DIV/0!</v>
      </c>
    </row>
    <row r="82" spans="2:21" ht="63" customHeight="1" thickBot="1" x14ac:dyDescent="0.35">
      <c r="B82" s="175" t="s">
        <v>340</v>
      </c>
      <c r="C82" s="230">
        <f>+'ANALISIS OCI'!X79</f>
        <v>0</v>
      </c>
      <c r="D82" s="231">
        <f>+'ANALISIS OCI'!Y79</f>
        <v>0</v>
      </c>
      <c r="E82" s="231">
        <f>+'ANALISIS OCI'!Z79</f>
        <v>0</v>
      </c>
      <c r="F82" s="231">
        <f>+'ANALISIS OCI'!AA79</f>
        <v>0</v>
      </c>
      <c r="G82" s="232">
        <f t="shared" si="20"/>
        <v>0</v>
      </c>
      <c r="H82" s="220">
        <f t="shared" si="21"/>
        <v>0</v>
      </c>
      <c r="I82" s="221">
        <f t="shared" si="22"/>
        <v>0</v>
      </c>
      <c r="J82" s="217" t="e">
        <f>'ANALISIS OCI'!AC79</f>
        <v>#DIV/0!</v>
      </c>
      <c r="K82" s="218" t="e">
        <f t="shared" si="30"/>
        <v>#DIV/0!</v>
      </c>
      <c r="L82" s="219" t="e">
        <f t="shared" si="28"/>
        <v>#DIV/0!</v>
      </c>
      <c r="M82" s="233"/>
      <c r="N82" s="234">
        <f t="shared" si="23"/>
        <v>0</v>
      </c>
      <c r="O82" s="235"/>
      <c r="P82" s="236">
        <f t="shared" si="24"/>
        <v>0</v>
      </c>
      <c r="Q82" s="222"/>
      <c r="R82" s="223">
        <f t="shared" si="25"/>
        <v>45291</v>
      </c>
      <c r="S82" s="237">
        <f t="shared" si="26"/>
        <v>0.3</v>
      </c>
      <c r="T82" s="174" t="e">
        <f t="shared" si="27"/>
        <v>#DIV/0!</v>
      </c>
      <c r="U82" s="187" t="e">
        <f t="shared" si="29"/>
        <v>#DIV/0!</v>
      </c>
    </row>
    <row r="83" spans="2:21" ht="63" customHeight="1" thickBot="1" x14ac:dyDescent="0.35">
      <c r="B83" s="175" t="s">
        <v>341</v>
      </c>
      <c r="C83" s="230">
        <f>+'ANALISIS OCI'!X80</f>
        <v>0</v>
      </c>
      <c r="D83" s="231">
        <f>+'ANALISIS OCI'!Y80</f>
        <v>0</v>
      </c>
      <c r="E83" s="231">
        <f>+'ANALISIS OCI'!Z80</f>
        <v>0</v>
      </c>
      <c r="F83" s="231">
        <f>+'ANALISIS OCI'!AA80</f>
        <v>0</v>
      </c>
      <c r="G83" s="232">
        <f t="shared" si="20"/>
        <v>0</v>
      </c>
      <c r="H83" s="220">
        <f t="shared" si="21"/>
        <v>0</v>
      </c>
      <c r="I83" s="221">
        <f t="shared" si="22"/>
        <v>0</v>
      </c>
      <c r="J83" s="217" t="e">
        <f>'ANALISIS OCI'!AC80</f>
        <v>#DIV/0!</v>
      </c>
      <c r="K83" s="218" t="e">
        <f t="shared" si="30"/>
        <v>#DIV/0!</v>
      </c>
      <c r="L83" s="219" t="e">
        <f t="shared" si="28"/>
        <v>#DIV/0!</v>
      </c>
      <c r="M83" s="233"/>
      <c r="N83" s="234">
        <f t="shared" si="23"/>
        <v>0</v>
      </c>
      <c r="O83" s="235"/>
      <c r="P83" s="236">
        <f t="shared" si="24"/>
        <v>0</v>
      </c>
      <c r="Q83" s="222"/>
      <c r="R83" s="223">
        <f t="shared" si="25"/>
        <v>45291</v>
      </c>
      <c r="S83" s="237">
        <f t="shared" si="26"/>
        <v>0.3</v>
      </c>
      <c r="T83" s="174" t="e">
        <f t="shared" si="27"/>
        <v>#DIV/0!</v>
      </c>
      <c r="U83" s="187" t="e">
        <f t="shared" si="29"/>
        <v>#DIV/0!</v>
      </c>
    </row>
    <row r="84" spans="2:21" ht="63" customHeight="1" thickBot="1" x14ac:dyDescent="0.35">
      <c r="B84" s="175" t="s">
        <v>342</v>
      </c>
      <c r="C84" s="230">
        <f>+'ANALISIS OCI'!X81</f>
        <v>0</v>
      </c>
      <c r="D84" s="231">
        <f>+'ANALISIS OCI'!Y81</f>
        <v>0</v>
      </c>
      <c r="E84" s="231">
        <f>+'ANALISIS OCI'!Z81</f>
        <v>0</v>
      </c>
      <c r="F84" s="231">
        <f>+'ANALISIS OCI'!AA81</f>
        <v>0</v>
      </c>
      <c r="G84" s="232">
        <f t="shared" si="20"/>
        <v>0</v>
      </c>
      <c r="H84" s="220">
        <f t="shared" si="21"/>
        <v>0</v>
      </c>
      <c r="I84" s="221">
        <f t="shared" si="22"/>
        <v>0</v>
      </c>
      <c r="J84" s="217" t="e">
        <f>'ANALISIS OCI'!AC81</f>
        <v>#DIV/0!</v>
      </c>
      <c r="K84" s="218" t="e">
        <f t="shared" si="30"/>
        <v>#DIV/0!</v>
      </c>
      <c r="L84" s="219" t="e">
        <f t="shared" si="28"/>
        <v>#DIV/0!</v>
      </c>
      <c r="M84" s="233"/>
      <c r="N84" s="234">
        <f t="shared" si="23"/>
        <v>0</v>
      </c>
      <c r="O84" s="235"/>
      <c r="P84" s="236">
        <f t="shared" si="24"/>
        <v>0</v>
      </c>
      <c r="Q84" s="222"/>
      <c r="R84" s="223">
        <f t="shared" si="25"/>
        <v>45291</v>
      </c>
      <c r="S84" s="237">
        <f t="shared" si="26"/>
        <v>0.3</v>
      </c>
      <c r="T84" s="174" t="e">
        <f t="shared" si="27"/>
        <v>#DIV/0!</v>
      </c>
      <c r="U84" s="187" t="e">
        <f t="shared" si="29"/>
        <v>#DIV/0!</v>
      </c>
    </row>
    <row r="85" spans="2:21" ht="63" customHeight="1" thickBot="1" x14ac:dyDescent="0.35">
      <c r="B85" s="175" t="s">
        <v>343</v>
      </c>
      <c r="C85" s="230">
        <f>+'ANALISIS OCI'!X82</f>
        <v>0</v>
      </c>
      <c r="D85" s="231">
        <f>+'ANALISIS OCI'!Y82</f>
        <v>0</v>
      </c>
      <c r="E85" s="231">
        <f>+'ANALISIS OCI'!Z82</f>
        <v>0</v>
      </c>
      <c r="F85" s="231">
        <f>+'ANALISIS OCI'!AA82</f>
        <v>0</v>
      </c>
      <c r="G85" s="232">
        <f t="shared" si="20"/>
        <v>0</v>
      </c>
      <c r="H85" s="220">
        <f t="shared" si="21"/>
        <v>0</v>
      </c>
      <c r="I85" s="221">
        <f t="shared" si="22"/>
        <v>0</v>
      </c>
      <c r="J85" s="217" t="e">
        <f>'ANALISIS OCI'!AC82</f>
        <v>#DIV/0!</v>
      </c>
      <c r="K85" s="218" t="e">
        <f t="shared" si="30"/>
        <v>#DIV/0!</v>
      </c>
      <c r="L85" s="219" t="e">
        <f t="shared" si="28"/>
        <v>#DIV/0!</v>
      </c>
      <c r="M85" s="233"/>
      <c r="N85" s="234">
        <f t="shared" si="23"/>
        <v>0</v>
      </c>
      <c r="O85" s="235"/>
      <c r="P85" s="236">
        <f t="shared" si="24"/>
        <v>0</v>
      </c>
      <c r="Q85" s="222"/>
      <c r="R85" s="223">
        <f t="shared" si="25"/>
        <v>45291</v>
      </c>
      <c r="S85" s="237">
        <f t="shared" si="26"/>
        <v>0.3</v>
      </c>
      <c r="T85" s="174" t="e">
        <f t="shared" si="27"/>
        <v>#DIV/0!</v>
      </c>
      <c r="U85" s="187" t="e">
        <f t="shared" si="29"/>
        <v>#DIV/0!</v>
      </c>
    </row>
    <row r="86" spans="2:21" ht="63" customHeight="1" thickBot="1" x14ac:dyDescent="0.35">
      <c r="B86" s="175" t="s">
        <v>344</v>
      </c>
      <c r="C86" s="230">
        <f>+'ANALISIS OCI'!X83</f>
        <v>0</v>
      </c>
      <c r="D86" s="231">
        <f>+'ANALISIS OCI'!Y83</f>
        <v>0</v>
      </c>
      <c r="E86" s="231">
        <f>+'ANALISIS OCI'!Z83</f>
        <v>0</v>
      </c>
      <c r="F86" s="231">
        <f>+'ANALISIS OCI'!AA83</f>
        <v>0</v>
      </c>
      <c r="G86" s="232">
        <f t="shared" si="20"/>
        <v>0</v>
      </c>
      <c r="H86" s="220">
        <f t="shared" si="21"/>
        <v>0</v>
      </c>
      <c r="I86" s="221">
        <f t="shared" si="22"/>
        <v>0</v>
      </c>
      <c r="J86" s="217" t="e">
        <f>'ANALISIS OCI'!AC83</f>
        <v>#DIV/0!</v>
      </c>
      <c r="K86" s="218" t="e">
        <f t="shared" si="30"/>
        <v>#DIV/0!</v>
      </c>
      <c r="L86" s="219" t="e">
        <f t="shared" si="28"/>
        <v>#DIV/0!</v>
      </c>
      <c r="M86" s="233"/>
      <c r="N86" s="234">
        <f t="shared" si="23"/>
        <v>0</v>
      </c>
      <c r="O86" s="235"/>
      <c r="P86" s="236">
        <f t="shared" si="24"/>
        <v>0</v>
      </c>
      <c r="Q86" s="222"/>
      <c r="R86" s="223">
        <f t="shared" si="25"/>
        <v>45291</v>
      </c>
      <c r="S86" s="237">
        <f t="shared" si="26"/>
        <v>0.3</v>
      </c>
      <c r="T86" s="174" t="e">
        <f t="shared" si="27"/>
        <v>#DIV/0!</v>
      </c>
      <c r="U86" s="187" t="e">
        <f t="shared" si="29"/>
        <v>#DIV/0!</v>
      </c>
    </row>
    <row r="87" spans="2:21" ht="63" customHeight="1" thickBot="1" x14ac:dyDescent="0.35">
      <c r="B87" s="175" t="s">
        <v>345</v>
      </c>
      <c r="C87" s="230">
        <f>+'ANALISIS OCI'!X84</f>
        <v>0</v>
      </c>
      <c r="D87" s="231">
        <f>+'ANALISIS OCI'!Y84</f>
        <v>0</v>
      </c>
      <c r="E87" s="231">
        <f>+'ANALISIS OCI'!Z84</f>
        <v>0</v>
      </c>
      <c r="F87" s="231">
        <f>+'ANALISIS OCI'!AA84</f>
        <v>0</v>
      </c>
      <c r="G87" s="232">
        <f t="shared" si="20"/>
        <v>0</v>
      </c>
      <c r="H87" s="220">
        <f t="shared" si="21"/>
        <v>0</v>
      </c>
      <c r="I87" s="221">
        <f t="shared" si="22"/>
        <v>0</v>
      </c>
      <c r="J87" s="217" t="e">
        <f>'ANALISIS OCI'!AC84</f>
        <v>#DIV/0!</v>
      </c>
      <c r="K87" s="218" t="e">
        <f t="shared" si="30"/>
        <v>#DIV/0!</v>
      </c>
      <c r="L87" s="219" t="e">
        <f t="shared" si="28"/>
        <v>#DIV/0!</v>
      </c>
      <c r="M87" s="233"/>
      <c r="N87" s="234">
        <f t="shared" si="23"/>
        <v>0</v>
      </c>
      <c r="O87" s="235"/>
      <c r="P87" s="236">
        <f t="shared" si="24"/>
        <v>0</v>
      </c>
      <c r="Q87" s="222"/>
      <c r="R87" s="223">
        <f t="shared" si="25"/>
        <v>45291</v>
      </c>
      <c r="S87" s="237">
        <f t="shared" si="26"/>
        <v>0.3</v>
      </c>
      <c r="T87" s="174" t="e">
        <f t="shared" si="27"/>
        <v>#DIV/0!</v>
      </c>
      <c r="U87" s="187" t="e">
        <f t="shared" si="29"/>
        <v>#DIV/0!</v>
      </c>
    </row>
    <row r="88" spans="2:21" ht="63" customHeight="1" thickBot="1" x14ac:dyDescent="0.35">
      <c r="B88" s="175" t="s">
        <v>346</v>
      </c>
      <c r="C88" s="230">
        <f>+'ANALISIS OCI'!X85</f>
        <v>0</v>
      </c>
      <c r="D88" s="231">
        <f>+'ANALISIS OCI'!Y85</f>
        <v>0</v>
      </c>
      <c r="E88" s="231">
        <f>+'ANALISIS OCI'!Z85</f>
        <v>0</v>
      </c>
      <c r="F88" s="231">
        <f>+'ANALISIS OCI'!AA85</f>
        <v>0</v>
      </c>
      <c r="G88" s="232">
        <f t="shared" si="20"/>
        <v>0</v>
      </c>
      <c r="H88" s="220">
        <f t="shared" si="21"/>
        <v>0</v>
      </c>
      <c r="I88" s="221">
        <f t="shared" si="22"/>
        <v>0</v>
      </c>
      <c r="J88" s="217" t="e">
        <f>'ANALISIS OCI'!AC85</f>
        <v>#DIV/0!</v>
      </c>
      <c r="K88" s="218" t="e">
        <f t="shared" si="30"/>
        <v>#DIV/0!</v>
      </c>
      <c r="L88" s="219" t="e">
        <f t="shared" si="28"/>
        <v>#DIV/0!</v>
      </c>
      <c r="M88" s="233"/>
      <c r="N88" s="234">
        <f t="shared" si="23"/>
        <v>0</v>
      </c>
      <c r="O88" s="235"/>
      <c r="P88" s="236">
        <f t="shared" si="24"/>
        <v>0</v>
      </c>
      <c r="Q88" s="222"/>
      <c r="R88" s="223">
        <f t="shared" si="25"/>
        <v>45291</v>
      </c>
      <c r="S88" s="237">
        <f t="shared" si="26"/>
        <v>0.3</v>
      </c>
      <c r="T88" s="174" t="e">
        <f t="shared" si="27"/>
        <v>#DIV/0!</v>
      </c>
      <c r="U88" s="187" t="e">
        <f t="shared" si="29"/>
        <v>#DIV/0!</v>
      </c>
    </row>
    <row r="89" spans="2:21" ht="63" customHeight="1" thickBot="1" x14ac:dyDescent="0.35">
      <c r="B89" s="175" t="s">
        <v>347</v>
      </c>
      <c r="C89" s="230">
        <f>+'ANALISIS OCI'!X86</f>
        <v>0</v>
      </c>
      <c r="D89" s="231">
        <f>+'ANALISIS OCI'!Y86</f>
        <v>0</v>
      </c>
      <c r="E89" s="231">
        <f>+'ANALISIS OCI'!Z86</f>
        <v>0</v>
      </c>
      <c r="F89" s="231">
        <f>+'ANALISIS OCI'!AA86</f>
        <v>0</v>
      </c>
      <c r="G89" s="232">
        <f t="shared" si="20"/>
        <v>0</v>
      </c>
      <c r="H89" s="220">
        <f t="shared" si="21"/>
        <v>0</v>
      </c>
      <c r="I89" s="221">
        <f t="shared" si="22"/>
        <v>0</v>
      </c>
      <c r="J89" s="217" t="e">
        <f>'ANALISIS OCI'!AC86</f>
        <v>#DIV/0!</v>
      </c>
      <c r="K89" s="218" t="e">
        <f t="shared" si="30"/>
        <v>#DIV/0!</v>
      </c>
      <c r="L89" s="219" t="e">
        <f t="shared" si="28"/>
        <v>#DIV/0!</v>
      </c>
      <c r="M89" s="233"/>
      <c r="N89" s="234">
        <f t="shared" si="23"/>
        <v>0</v>
      </c>
      <c r="O89" s="235"/>
      <c r="P89" s="236">
        <f t="shared" si="24"/>
        <v>0</v>
      </c>
      <c r="Q89" s="222"/>
      <c r="R89" s="223">
        <f t="shared" si="25"/>
        <v>45291</v>
      </c>
      <c r="S89" s="237">
        <f t="shared" si="26"/>
        <v>0.3</v>
      </c>
      <c r="T89" s="174" t="e">
        <f t="shared" si="27"/>
        <v>#DIV/0!</v>
      </c>
      <c r="U89" s="187" t="e">
        <f t="shared" si="29"/>
        <v>#DIV/0!</v>
      </c>
    </row>
    <row r="90" spans="2:21" ht="63" customHeight="1" thickBot="1" x14ac:dyDescent="0.35">
      <c r="B90" s="175" t="s">
        <v>348</v>
      </c>
      <c r="C90" s="230">
        <f>+'ANALISIS OCI'!X87</f>
        <v>0</v>
      </c>
      <c r="D90" s="231">
        <f>+'ANALISIS OCI'!Y87</f>
        <v>0</v>
      </c>
      <c r="E90" s="231">
        <f>+'ANALISIS OCI'!Z87</f>
        <v>0</v>
      </c>
      <c r="F90" s="231">
        <f>+'ANALISIS OCI'!AA87</f>
        <v>0</v>
      </c>
      <c r="G90" s="232">
        <f t="shared" si="20"/>
        <v>0</v>
      </c>
      <c r="H90" s="220">
        <f t="shared" si="21"/>
        <v>0</v>
      </c>
      <c r="I90" s="221">
        <f t="shared" si="22"/>
        <v>0</v>
      </c>
      <c r="J90" s="217" t="e">
        <f>'ANALISIS OCI'!AC87</f>
        <v>#DIV/0!</v>
      </c>
      <c r="K90" s="218" t="e">
        <f t="shared" si="30"/>
        <v>#DIV/0!</v>
      </c>
      <c r="L90" s="219" t="e">
        <f t="shared" si="28"/>
        <v>#DIV/0!</v>
      </c>
      <c r="M90" s="233"/>
      <c r="N90" s="234">
        <f t="shared" si="23"/>
        <v>0</v>
      </c>
      <c r="O90" s="235"/>
      <c r="P90" s="236">
        <f t="shared" si="24"/>
        <v>0</v>
      </c>
      <c r="Q90" s="222"/>
      <c r="R90" s="223">
        <f t="shared" si="25"/>
        <v>45291</v>
      </c>
      <c r="S90" s="237">
        <f t="shared" si="26"/>
        <v>0.3</v>
      </c>
      <c r="T90" s="174" t="e">
        <f t="shared" si="27"/>
        <v>#DIV/0!</v>
      </c>
      <c r="U90" s="187" t="e">
        <f t="shared" si="29"/>
        <v>#DIV/0!</v>
      </c>
    </row>
    <row r="91" spans="2:21" ht="63" customHeight="1" thickBot="1" x14ac:dyDescent="0.35">
      <c r="B91" s="175" t="s">
        <v>349</v>
      </c>
      <c r="C91" s="230">
        <f>+'ANALISIS OCI'!X88</f>
        <v>0</v>
      </c>
      <c r="D91" s="231">
        <f>+'ANALISIS OCI'!Y88</f>
        <v>0</v>
      </c>
      <c r="E91" s="231">
        <f>+'ANALISIS OCI'!Z88</f>
        <v>0</v>
      </c>
      <c r="F91" s="231">
        <f>+'ANALISIS OCI'!AA88</f>
        <v>0</v>
      </c>
      <c r="G91" s="232">
        <f t="shared" si="20"/>
        <v>0</v>
      </c>
      <c r="H91" s="220">
        <f t="shared" si="21"/>
        <v>0</v>
      </c>
      <c r="I91" s="221">
        <f t="shared" si="22"/>
        <v>0</v>
      </c>
      <c r="J91" s="217" t="e">
        <f>'ANALISIS OCI'!AC88</f>
        <v>#DIV/0!</v>
      </c>
      <c r="K91" s="218" t="e">
        <f t="shared" si="30"/>
        <v>#DIV/0!</v>
      </c>
      <c r="L91" s="219" t="e">
        <f t="shared" si="28"/>
        <v>#DIV/0!</v>
      </c>
      <c r="M91" s="233"/>
      <c r="N91" s="234">
        <f t="shared" si="23"/>
        <v>0</v>
      </c>
      <c r="O91" s="235"/>
      <c r="P91" s="236">
        <f t="shared" si="24"/>
        <v>0</v>
      </c>
      <c r="Q91" s="222"/>
      <c r="R91" s="223">
        <f t="shared" si="25"/>
        <v>45291</v>
      </c>
      <c r="S91" s="237">
        <f t="shared" si="26"/>
        <v>0.3</v>
      </c>
      <c r="T91" s="174" t="e">
        <f t="shared" si="27"/>
        <v>#DIV/0!</v>
      </c>
      <c r="U91" s="187" t="e">
        <f t="shared" si="29"/>
        <v>#DIV/0!</v>
      </c>
    </row>
    <row r="92" spans="2:21" ht="63" customHeight="1" thickBot="1" x14ac:dyDescent="0.35">
      <c r="B92" s="175" t="s">
        <v>350</v>
      </c>
      <c r="C92" s="230">
        <f>+'ANALISIS OCI'!X89</f>
        <v>0</v>
      </c>
      <c r="D92" s="231">
        <f>+'ANALISIS OCI'!Y89</f>
        <v>0</v>
      </c>
      <c r="E92" s="231">
        <f>+'ANALISIS OCI'!Z89</f>
        <v>0</v>
      </c>
      <c r="F92" s="231">
        <f>+'ANALISIS OCI'!AA89</f>
        <v>0</v>
      </c>
      <c r="G92" s="232">
        <f t="shared" si="20"/>
        <v>0</v>
      </c>
      <c r="H92" s="220">
        <f t="shared" si="21"/>
        <v>0</v>
      </c>
      <c r="I92" s="221">
        <f t="shared" si="22"/>
        <v>0</v>
      </c>
      <c r="J92" s="217">
        <f>'ANALISIS OCI'!AC89</f>
        <v>0</v>
      </c>
      <c r="K92" s="218">
        <f t="shared" si="30"/>
        <v>0</v>
      </c>
      <c r="L92" s="219">
        <f t="shared" si="28"/>
        <v>0</v>
      </c>
      <c r="M92" s="233"/>
      <c r="N92" s="234">
        <f t="shared" si="23"/>
        <v>0</v>
      </c>
      <c r="O92" s="235"/>
      <c r="P92" s="236">
        <f t="shared" si="24"/>
        <v>0</v>
      </c>
      <c r="Q92" s="222"/>
      <c r="R92" s="223">
        <f t="shared" si="25"/>
        <v>45291</v>
      </c>
      <c r="S92" s="237">
        <f t="shared" si="26"/>
        <v>0.3</v>
      </c>
      <c r="T92" s="174">
        <f t="shared" si="27"/>
        <v>0.3</v>
      </c>
      <c r="U92" s="187" t="str">
        <f t="shared" si="29"/>
        <v>Incluir en ciclos posteriores de auditoría</v>
      </c>
    </row>
    <row r="93" spans="2:21" ht="63" customHeight="1" thickBot="1" x14ac:dyDescent="0.35">
      <c r="B93" s="175" t="s">
        <v>351</v>
      </c>
      <c r="C93" s="230">
        <f>+'ANALISIS OCI'!X90</f>
        <v>0</v>
      </c>
      <c r="D93" s="231">
        <f>+'ANALISIS OCI'!Y90</f>
        <v>0</v>
      </c>
      <c r="E93" s="231">
        <f>+'ANALISIS OCI'!Z90</f>
        <v>0</v>
      </c>
      <c r="F93" s="231">
        <f>+'ANALISIS OCI'!AA90</f>
        <v>0</v>
      </c>
      <c r="G93" s="232">
        <f t="shared" si="20"/>
        <v>0</v>
      </c>
      <c r="H93" s="220">
        <f t="shared" si="21"/>
        <v>0</v>
      </c>
      <c r="I93" s="221">
        <f t="shared" si="22"/>
        <v>0</v>
      </c>
      <c r="J93" s="217">
        <f>'ANALISIS OCI'!AC90</f>
        <v>0</v>
      </c>
      <c r="K93" s="218">
        <f t="shared" si="30"/>
        <v>0</v>
      </c>
      <c r="L93" s="219">
        <f t="shared" si="28"/>
        <v>0</v>
      </c>
      <c r="M93" s="233"/>
      <c r="N93" s="234">
        <f t="shared" si="23"/>
        <v>0</v>
      </c>
      <c r="O93" s="235"/>
      <c r="P93" s="236">
        <f t="shared" si="24"/>
        <v>0</v>
      </c>
      <c r="Q93" s="222"/>
      <c r="R93" s="223">
        <f t="shared" si="25"/>
        <v>45291</v>
      </c>
      <c r="S93" s="237">
        <f t="shared" si="26"/>
        <v>0.3</v>
      </c>
      <c r="T93" s="174">
        <f t="shared" si="27"/>
        <v>0.3</v>
      </c>
      <c r="U93" s="187" t="str">
        <f t="shared" si="29"/>
        <v>Incluir en ciclos posteriores de auditoría</v>
      </c>
    </row>
    <row r="94" spans="2:21" ht="15.75" customHeight="1" x14ac:dyDescent="0.3"/>
    <row r="95" spans="2:21" ht="15.75" customHeight="1" x14ac:dyDescent="0.3"/>
    <row r="96" spans="2:21" ht="15.75" customHeight="1" x14ac:dyDescent="0.3"/>
    <row r="97" ht="15.75" customHeight="1" x14ac:dyDescent="0.3"/>
    <row r="98" ht="15.75" customHeight="1" x14ac:dyDescent="0.3"/>
    <row r="99" ht="15.75" customHeight="1" x14ac:dyDescent="0.3"/>
    <row r="100" ht="15.75" customHeight="1" x14ac:dyDescent="0.3"/>
    <row r="101" ht="15.75" customHeight="1" x14ac:dyDescent="0.3"/>
  </sheetData>
  <mergeCells count="23">
    <mergeCell ref="C6:D6"/>
    <mergeCell ref="B2:B5"/>
    <mergeCell ref="C2:Q5"/>
    <mergeCell ref="R2:S2"/>
    <mergeCell ref="T2:T5"/>
    <mergeCell ref="R3:S3"/>
    <mergeCell ref="R4:S4"/>
    <mergeCell ref="R5:S5"/>
    <mergeCell ref="B9:B10"/>
    <mergeCell ref="C9:G9"/>
    <mergeCell ref="H9:I10"/>
    <mergeCell ref="M9:N10"/>
    <mergeCell ref="O9:P10"/>
    <mergeCell ref="T9:U10"/>
    <mergeCell ref="T8:U8"/>
    <mergeCell ref="C8:J8"/>
    <mergeCell ref="J9:L10"/>
    <mergeCell ref="M8:N8"/>
    <mergeCell ref="O8:P8"/>
    <mergeCell ref="Q8:S8"/>
    <mergeCell ref="Q9:Q10"/>
    <mergeCell ref="R9:R10"/>
    <mergeCell ref="S9:S10"/>
  </mergeCells>
  <phoneticPr fontId="59" type="noConversion"/>
  <conditionalFormatting sqref="G11:G17">
    <cfRule type="containsText" dxfId="67" priority="17" operator="containsText" text="Muy Alto">
      <formula>NOT(ISERROR(SEARCH(("Muy Alto"),(G11))))</formula>
    </cfRule>
    <cfRule type="containsText" dxfId="66" priority="18" operator="containsText" text="Alto">
      <formula>NOT(ISERROR(SEARCH(("Alto"),(G11))))</formula>
    </cfRule>
  </conditionalFormatting>
  <conditionalFormatting sqref="G12:G17">
    <cfRule type="containsText" dxfId="65" priority="19" operator="containsText" text="Moderado">
      <formula>NOT(ISERROR(SEARCH(("Moderado"),(G12))))</formula>
    </cfRule>
  </conditionalFormatting>
  <conditionalFormatting sqref="G11:H11">
    <cfRule type="containsText" dxfId="64" priority="43" operator="containsText" text="Moderado">
      <formula>NOT(ISERROR(SEARCH(("Moderado"),(G11))))</formula>
    </cfRule>
  </conditionalFormatting>
  <conditionalFormatting sqref="G11:H17">
    <cfRule type="containsText" dxfId="63" priority="61" operator="containsText" text="Muy Bajo">
      <formula>NOT(ISERROR(SEARCH(("Muy Bajo"),(G11))))</formula>
    </cfRule>
    <cfRule type="containsText" dxfId="62" priority="62" operator="containsText" text="Bajo">
      <formula>NOT(ISERROR(SEARCH(("Bajo"),(G11))))</formula>
    </cfRule>
    <cfRule type="containsText" dxfId="61" priority="63" operator="containsText" text="Extremo">
      <formula>NOT(ISERROR(SEARCH(("Extremo"),(G11))))</formula>
    </cfRule>
  </conditionalFormatting>
  <conditionalFormatting sqref="G18:H93">
    <cfRule type="containsText" dxfId="60" priority="2" operator="containsText" text="Muy Alto">
      <formula>NOT(ISERROR(SEARCH(("Muy Alto"),(G18))))</formula>
    </cfRule>
    <cfRule type="containsText" dxfId="59" priority="3" operator="containsText" text="Alto">
      <formula>NOT(ISERROR(SEARCH(("Alto"),(G18))))</formula>
    </cfRule>
    <cfRule type="containsText" dxfId="58" priority="4" operator="containsText" text="Moderado">
      <formula>NOT(ISERROR(SEARCH(("Moderado"),(G18))))</formula>
    </cfRule>
    <cfRule type="containsText" dxfId="57" priority="8" operator="containsText" text="Muy Bajo">
      <formula>NOT(ISERROR(SEARCH(("Muy Bajo"),(G18))))</formula>
    </cfRule>
    <cfRule type="containsText" dxfId="56" priority="9" operator="containsText" text="Bajo">
      <formula>NOT(ISERROR(SEARCH(("Bajo"),(G18))))</formula>
    </cfRule>
    <cfRule type="containsText" dxfId="55" priority="10" operator="containsText" text="Extremo">
      <formula>NOT(ISERROR(SEARCH(("Extremo"),(G18))))</formula>
    </cfRule>
  </conditionalFormatting>
  <conditionalFormatting sqref="H11">
    <cfRule type="containsText" dxfId="54" priority="59" operator="containsText" text="Alto">
      <formula>NOT(ISERROR(SEARCH(("Alto"),(H11))))</formula>
    </cfRule>
    <cfRule type="containsText" dxfId="53" priority="60" operator="containsText" text="Muy Alto">
      <formula>NOT(ISERROR(SEARCH(("Muy Alto"),(H11))))</formula>
    </cfRule>
  </conditionalFormatting>
  <conditionalFormatting sqref="H12:H17">
    <cfRule type="containsText" dxfId="52" priority="23" operator="containsText" text="Muy Alto">
      <formula>NOT(ISERROR(SEARCH(("Muy Alto"),(H12))))</formula>
    </cfRule>
    <cfRule type="containsText" dxfId="51" priority="24" operator="containsText" text="Alto">
      <formula>NOT(ISERROR(SEARCH(("Alto"),(H12))))</formula>
    </cfRule>
    <cfRule type="containsText" dxfId="50" priority="25" operator="containsText" text="Moderado">
      <formula>NOT(ISERROR(SEARCH(("Moderado"),(H12))))</formula>
    </cfRule>
  </conditionalFormatting>
  <conditionalFormatting sqref="T11:T17 T19:T20 T23:T93">
    <cfRule type="colorScale" priority="100">
      <colorScale>
        <cfvo type="min"/>
        <cfvo type="percentile" val="50"/>
        <cfvo type="max"/>
        <color rgb="FF63BE7B"/>
        <color rgb="FFFFEB84"/>
        <color rgb="FFF8696B"/>
      </colorScale>
    </cfRule>
  </conditionalFormatting>
  <conditionalFormatting sqref="T18">
    <cfRule type="colorScale" priority="1">
      <colorScale>
        <cfvo type="min"/>
        <cfvo type="percentile" val="50"/>
        <cfvo type="max"/>
        <color rgb="FF63BE7B"/>
        <color rgb="FFFFEB84"/>
        <color rgb="FFF8696B"/>
      </colorScale>
    </cfRule>
  </conditionalFormatting>
  <conditionalFormatting sqref="T21">
    <cfRule type="colorScale" priority="57">
      <colorScale>
        <cfvo type="min"/>
        <cfvo type="percentile" val="50"/>
        <cfvo type="max"/>
        <color rgb="FF63BE7B"/>
        <color rgb="FFFFEB84"/>
        <color rgb="FFF8696B"/>
      </colorScale>
    </cfRule>
  </conditionalFormatting>
  <conditionalFormatting sqref="T22">
    <cfRule type="colorScale" priority="50">
      <colorScale>
        <cfvo type="min"/>
        <cfvo type="percentile" val="50"/>
        <cfvo type="max"/>
        <color rgb="FF63BE7B"/>
        <color rgb="FFFFEB84"/>
        <color rgb="FFF8696B"/>
      </colorScale>
    </cfRule>
  </conditionalFormatting>
  <dataValidations count="1">
    <dataValidation type="list" allowBlank="1" showErrorMessage="1" sqref="O11:O93 M11:M93">
      <formula1>"Si,No"</formula1>
    </dataValidation>
  </dataValidations>
  <pageMargins left="0.7" right="0.7" top="0.75" bottom="0.75" header="0" footer="0"/>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5"/>
  <sheetViews>
    <sheetView workbookViewId="0">
      <selection activeCell="C15" sqref="C15:K15"/>
    </sheetView>
  </sheetViews>
  <sheetFormatPr baseColWidth="10" defaultColWidth="11.42578125" defaultRowHeight="15" x14ac:dyDescent="0.25"/>
  <cols>
    <col min="1" max="2" width="11.42578125" style="19"/>
    <col min="3" max="3" width="16.85546875" style="19" customWidth="1"/>
    <col min="4" max="16384" width="11.42578125" style="19"/>
  </cols>
  <sheetData>
    <row r="4" spans="3:11" ht="15.75" thickBot="1" x14ac:dyDescent="0.3"/>
    <row r="5" spans="3:11" x14ac:dyDescent="0.25">
      <c r="C5" s="143" t="s">
        <v>237</v>
      </c>
      <c r="D5" s="144"/>
      <c r="E5" s="144"/>
      <c r="F5" s="144"/>
      <c r="G5" s="144"/>
      <c r="H5" s="144"/>
      <c r="I5" s="144"/>
      <c r="J5" s="144"/>
      <c r="K5" s="145"/>
    </row>
    <row r="6" spans="3:11" ht="15.75" thickBot="1" x14ac:dyDescent="0.3">
      <c r="C6" s="146" t="s">
        <v>273</v>
      </c>
      <c r="D6" s="147" t="s">
        <v>280</v>
      </c>
      <c r="E6" s="147"/>
      <c r="F6" s="147"/>
      <c r="G6" s="147"/>
      <c r="H6" s="147"/>
      <c r="I6" s="147"/>
      <c r="J6" s="147"/>
      <c r="K6" s="148"/>
    </row>
    <row r="9" spans="3:11" ht="236.25" customHeight="1" x14ac:dyDescent="0.25">
      <c r="C9" s="489" t="s">
        <v>274</v>
      </c>
      <c r="D9" s="489"/>
      <c r="E9" s="489"/>
      <c r="F9" s="489"/>
      <c r="G9" s="489"/>
      <c r="H9" s="489"/>
      <c r="I9" s="489"/>
      <c r="J9" s="489"/>
      <c r="K9" s="489"/>
    </row>
    <row r="10" spans="3:11" ht="326.25" customHeight="1" x14ac:dyDescent="0.25">
      <c r="C10" s="489" t="s">
        <v>275</v>
      </c>
      <c r="D10" s="489"/>
      <c r="E10" s="489"/>
      <c r="F10" s="489"/>
      <c r="G10" s="489"/>
      <c r="H10" s="489"/>
      <c r="I10" s="489"/>
      <c r="J10" s="489"/>
      <c r="K10" s="489"/>
    </row>
    <row r="11" spans="3:11" ht="205.5" customHeight="1" x14ac:dyDescent="0.25">
      <c r="C11" s="489" t="s">
        <v>277</v>
      </c>
      <c r="D11" s="489"/>
      <c r="E11" s="489"/>
      <c r="F11" s="489"/>
      <c r="G11" s="489"/>
      <c r="H11" s="489"/>
      <c r="I11" s="489"/>
      <c r="J11" s="489"/>
      <c r="K11" s="489"/>
    </row>
    <row r="12" spans="3:11" ht="269.25" customHeight="1" x14ac:dyDescent="0.25">
      <c r="C12" s="489" t="s">
        <v>278</v>
      </c>
      <c r="D12" s="489"/>
      <c r="E12" s="489"/>
      <c r="F12" s="489"/>
      <c r="G12" s="489"/>
      <c r="H12" s="489"/>
      <c r="I12" s="489"/>
      <c r="J12" s="489"/>
      <c r="K12" s="489"/>
    </row>
    <row r="13" spans="3:11" ht="249" customHeight="1" x14ac:dyDescent="0.25">
      <c r="C13" s="489" t="s">
        <v>279</v>
      </c>
      <c r="D13" s="489"/>
      <c r="E13" s="489"/>
      <c r="F13" s="489"/>
      <c r="G13" s="489"/>
      <c r="H13" s="489"/>
      <c r="I13" s="489"/>
      <c r="J13" s="489"/>
      <c r="K13" s="489"/>
    </row>
    <row r="14" spans="3:11" ht="167.25" customHeight="1" x14ac:dyDescent="0.25">
      <c r="C14" s="489" t="s">
        <v>276</v>
      </c>
      <c r="D14" s="489"/>
      <c r="E14" s="489"/>
      <c r="F14" s="489"/>
      <c r="G14" s="489"/>
      <c r="H14" s="489"/>
      <c r="I14" s="489"/>
      <c r="J14" s="489"/>
      <c r="K14" s="489"/>
    </row>
    <row r="15" spans="3:11" ht="39.75" customHeight="1" x14ac:dyDescent="0.25">
      <c r="C15" s="490" t="s">
        <v>247</v>
      </c>
      <c r="D15" s="490"/>
      <c r="E15" s="490"/>
      <c r="F15" s="490"/>
      <c r="G15" s="490"/>
      <c r="H15" s="490"/>
      <c r="I15" s="490"/>
      <c r="J15" s="490"/>
      <c r="K15" s="490"/>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opLeftCell="K8" workbookViewId="0">
      <pane ySplit="1" topLeftCell="A11" activePane="bottomLeft" state="frozen"/>
      <selection activeCell="A8" sqref="A8"/>
      <selection pane="bottomLeft" activeCell="AB16" sqref="AB16"/>
    </sheetView>
  </sheetViews>
  <sheetFormatPr baseColWidth="10" defaultColWidth="11.42578125" defaultRowHeight="15" x14ac:dyDescent="0.25"/>
  <cols>
    <col min="1" max="2" width="38.5703125" customWidth="1"/>
    <col min="3" max="3" width="25.7109375" customWidth="1"/>
    <col min="4" max="4" width="9.570312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3.5703125" hidden="1" customWidth="1"/>
    <col min="17" max="23" width="3.140625" customWidth="1"/>
    <col min="29" max="29" width="14.28515625" bestFit="1" customWidth="1"/>
  </cols>
  <sheetData>
    <row r="1" spans="1:35" ht="15.75" thickBot="1" x14ac:dyDescent="0.3"/>
    <row r="2" spans="1:35" x14ac:dyDescent="0.25">
      <c r="A2" s="570"/>
      <c r="B2" s="188"/>
      <c r="C2" s="573" t="s">
        <v>294</v>
      </c>
      <c r="D2" s="574"/>
      <c r="E2" s="574"/>
      <c r="F2" s="574"/>
      <c r="G2" s="574"/>
      <c r="H2" s="574"/>
      <c r="I2" s="574"/>
      <c r="J2" s="574"/>
      <c r="K2" s="574"/>
      <c r="L2" s="574"/>
      <c r="M2" s="574"/>
      <c r="N2" s="574"/>
      <c r="O2" s="574"/>
      <c r="P2" s="176"/>
      <c r="Q2" s="574"/>
      <c r="R2" s="574"/>
      <c r="S2" s="574"/>
      <c r="T2" s="574"/>
      <c r="U2" s="574"/>
      <c r="V2" s="574"/>
      <c r="W2" s="574"/>
      <c r="X2" s="574"/>
      <c r="Y2" s="574"/>
      <c r="Z2" s="574"/>
      <c r="AA2" s="577"/>
      <c r="AB2" s="577"/>
      <c r="AC2" s="578"/>
    </row>
    <row r="3" spans="1:35" x14ac:dyDescent="0.25">
      <c r="A3" s="571"/>
      <c r="B3" s="189"/>
      <c r="C3" s="575"/>
      <c r="D3" s="575"/>
      <c r="E3" s="575"/>
      <c r="F3" s="575"/>
      <c r="G3" s="575"/>
      <c r="H3" s="575"/>
      <c r="I3" s="575"/>
      <c r="J3" s="575"/>
      <c r="K3" s="575"/>
      <c r="L3" s="575"/>
      <c r="M3" s="575"/>
      <c r="N3" s="575"/>
      <c r="O3" s="575"/>
      <c r="P3" s="177"/>
      <c r="Q3" s="575"/>
      <c r="R3" s="575"/>
      <c r="S3" s="575"/>
      <c r="T3" s="575"/>
      <c r="U3" s="575"/>
      <c r="V3" s="575"/>
      <c r="W3" s="575"/>
      <c r="X3" s="575"/>
      <c r="Y3" s="575"/>
      <c r="Z3" s="575"/>
      <c r="AA3" s="579"/>
      <c r="AB3" s="579"/>
      <c r="AC3" s="580"/>
    </row>
    <row r="4" spans="1:35" x14ac:dyDescent="0.25">
      <c r="A4" s="571"/>
      <c r="B4" s="189"/>
      <c r="C4" s="575"/>
      <c r="D4" s="575"/>
      <c r="E4" s="575"/>
      <c r="F4" s="575"/>
      <c r="G4" s="575"/>
      <c r="H4" s="575"/>
      <c r="I4" s="575"/>
      <c r="J4" s="575"/>
      <c r="K4" s="575"/>
      <c r="L4" s="575"/>
      <c r="M4" s="575"/>
      <c r="N4" s="575"/>
      <c r="O4" s="575"/>
      <c r="P4" s="177"/>
      <c r="Q4" s="575"/>
      <c r="R4" s="575"/>
      <c r="S4" s="575"/>
      <c r="T4" s="575"/>
      <c r="U4" s="575"/>
      <c r="V4" s="575"/>
      <c r="W4" s="575"/>
      <c r="X4" s="575"/>
      <c r="Y4" s="575"/>
      <c r="Z4" s="575"/>
      <c r="AA4" s="579"/>
      <c r="AB4" s="579"/>
      <c r="AC4" s="580"/>
    </row>
    <row r="5" spans="1:35" ht="15.75" thickBot="1" x14ac:dyDescent="0.3">
      <c r="A5" s="572"/>
      <c r="B5" s="190"/>
      <c r="C5" s="576"/>
      <c r="D5" s="576"/>
      <c r="E5" s="576"/>
      <c r="F5" s="576"/>
      <c r="G5" s="576"/>
      <c r="H5" s="576"/>
      <c r="I5" s="576"/>
      <c r="J5" s="576"/>
      <c r="K5" s="576"/>
      <c r="L5" s="576"/>
      <c r="M5" s="576"/>
      <c r="N5" s="576"/>
      <c r="O5" s="576"/>
      <c r="P5" s="178"/>
      <c r="Q5" s="576"/>
      <c r="R5" s="576"/>
      <c r="S5" s="576"/>
      <c r="T5" s="576"/>
      <c r="U5" s="576"/>
      <c r="V5" s="576"/>
      <c r="W5" s="576"/>
      <c r="X5" s="576"/>
      <c r="Y5" s="576"/>
      <c r="Z5" s="576"/>
      <c r="AA5" s="581"/>
      <c r="AB5" s="581"/>
      <c r="AC5" s="582"/>
    </row>
    <row r="6" spans="1:35" ht="15.75" thickBot="1" x14ac:dyDescent="0.3"/>
    <row r="7" spans="1:35" x14ac:dyDescent="0.25">
      <c r="A7" s="565" t="s">
        <v>15</v>
      </c>
      <c r="B7" s="565" t="s">
        <v>354</v>
      </c>
      <c r="C7" s="567">
        <v>1</v>
      </c>
      <c r="D7" s="568"/>
      <c r="E7" s="568">
        <v>2</v>
      </c>
      <c r="F7" s="568"/>
      <c r="G7" s="568">
        <v>3</v>
      </c>
      <c r="H7" s="568"/>
      <c r="I7" s="568">
        <v>4</v>
      </c>
      <c r="J7" s="568"/>
      <c r="K7" s="568">
        <v>5</v>
      </c>
      <c r="L7" s="568"/>
      <c r="M7" s="568">
        <v>6</v>
      </c>
      <c r="N7" s="568"/>
      <c r="O7" s="568">
        <v>7</v>
      </c>
      <c r="P7" s="569"/>
      <c r="Q7" s="557">
        <v>1</v>
      </c>
      <c r="R7" s="557">
        <v>2</v>
      </c>
      <c r="S7" s="557">
        <v>3</v>
      </c>
      <c r="T7" s="557">
        <v>4</v>
      </c>
      <c r="U7" s="557">
        <v>5</v>
      </c>
      <c r="V7" s="557">
        <v>6</v>
      </c>
      <c r="W7" s="557">
        <v>7</v>
      </c>
      <c r="X7" s="559" t="s">
        <v>1</v>
      </c>
      <c r="Y7" s="561" t="s">
        <v>2</v>
      </c>
      <c r="Z7" s="563" t="s">
        <v>3</v>
      </c>
      <c r="AA7" s="548" t="s">
        <v>4</v>
      </c>
      <c r="AB7" s="550" t="s">
        <v>295</v>
      </c>
      <c r="AC7" s="552" t="s">
        <v>296</v>
      </c>
    </row>
    <row r="8" spans="1:35" s="179" customFormat="1" ht="45" customHeight="1" thickBot="1" x14ac:dyDescent="0.3">
      <c r="A8" s="566"/>
      <c r="B8" s="566"/>
      <c r="C8" s="554" t="s">
        <v>297</v>
      </c>
      <c r="D8" s="555"/>
      <c r="E8" s="555" t="s">
        <v>298</v>
      </c>
      <c r="F8" s="555"/>
      <c r="G8" s="555" t="s">
        <v>299</v>
      </c>
      <c r="H8" s="555"/>
      <c r="I8" s="555" t="s">
        <v>300</v>
      </c>
      <c r="J8" s="555"/>
      <c r="K8" s="555" t="s">
        <v>301</v>
      </c>
      <c r="L8" s="555"/>
      <c r="M8" s="555" t="s">
        <v>302</v>
      </c>
      <c r="N8" s="555"/>
      <c r="O8" s="555" t="s">
        <v>303</v>
      </c>
      <c r="P8" s="556"/>
      <c r="Q8" s="558"/>
      <c r="R8" s="558"/>
      <c r="S8" s="558"/>
      <c r="T8" s="558"/>
      <c r="U8" s="558"/>
      <c r="V8" s="558"/>
      <c r="W8" s="558"/>
      <c r="X8" s="560"/>
      <c r="Y8" s="562"/>
      <c r="Z8" s="564"/>
      <c r="AA8" s="549"/>
      <c r="AB8" s="551"/>
      <c r="AC8" s="553"/>
    </row>
    <row r="9" spans="1:35" ht="45" x14ac:dyDescent="0.25">
      <c r="A9" s="401" t="str">
        <f>+'PRIORIZACIÓN (2)'!B11</f>
        <v>Alcaldía los Mártires - Avance Obra - Cumplimiento cronogramas y ejecución presupuestal</v>
      </c>
      <c r="B9" s="191" t="str">
        <f>+IF('PRIORIZACIÓN (2)'!I11&gt;0%,"YA CUENTA CON PONDERACIÓN DE RIESGOS, NO DILIGENCIAR ANALISIS OCI", "DILIGENCIE ANALISIS OCI PARA ESTA UNIDAD AUDITABLE")</f>
        <v>YA CUENTA CON PONDERACIÓN DE RIESGOS, NO DILIGENCIAR ANALISIS OCI</v>
      </c>
      <c r="C9" s="184" t="s">
        <v>368</v>
      </c>
      <c r="D9" s="1"/>
      <c r="E9" s="1" t="s">
        <v>658</v>
      </c>
      <c r="F9" s="1"/>
      <c r="G9" s="185" t="s">
        <v>368</v>
      </c>
      <c r="H9" s="1"/>
      <c r="I9" s="185" t="s">
        <v>368</v>
      </c>
      <c r="J9" s="1"/>
      <c r="K9" s="1" t="s">
        <v>659</v>
      </c>
      <c r="L9" s="1"/>
      <c r="M9" s="1" t="s">
        <v>367</v>
      </c>
      <c r="N9" s="1"/>
      <c r="O9" s="1" t="s">
        <v>660</v>
      </c>
      <c r="P9" s="181" t="str">
        <f>IF($O9="Critica no recuperable","E",IF($O9="Critica con recuperación parcial","A",IF($O9="Falta de oportunidad para atención usuarios","M",IF($O9="Falta de oportunidad para gestión de los procesos","B",0))))</f>
        <v>B</v>
      </c>
      <c r="Q9" s="1">
        <f>IF($C9="EXTREMA","E",IF($C9="ALTA","A",IF($C9="MEDIA","M",IF($C9="BAJA","B",0))))</f>
        <v>0</v>
      </c>
      <c r="R9" s="1" t="str">
        <f t="shared" ref="R9:R72" si="0">IF($E9="3 días","E",IF($E9="2 días","A",IF($E9="1 días","M",IF($E9="Varias horas","B",0))))</f>
        <v>B</v>
      </c>
      <c r="S9" s="1">
        <f>IF($G9="EXTREMA","E",IF($G9="ALTA","A",IF($G9="MEDIA","M",IF($G9="BAJA","B",0))))</f>
        <v>0</v>
      </c>
      <c r="T9" s="1">
        <f>IF($I9="EXTREMA","E",IF($I9="ALTA","A",IF($I9="MEDIA","M",IF($I9="BAJA","B",0))))</f>
        <v>0</v>
      </c>
      <c r="U9" s="1" t="str">
        <f t="shared" ref="U9:U72" si="1">IF($K9="Hechos de Corrupción","E",IF($K9="Incumplimiento de servicios","A",IF($K9="Retrasos en los servicios","M",IF($K9="Quejas por incumplimientos o retrasos","B",0))))</f>
        <v>E</v>
      </c>
      <c r="V9" s="1" t="str">
        <f>IF($M9="EXTREMA","E",IF($M9="ALTA","A",IF($M9="MEDIA","M",IF($M9="BAJA","B",0))))</f>
        <v>M</v>
      </c>
      <c r="W9" s="181" t="str">
        <f>IF($O9="Critica no recuperable","E",IF($O9="Critica con recuperación parcial","A",IF($O9="Falta de oportunidad para atención usuarios","M",IF($O9="Falta de oportunidad para gestión de los procesos","B",0))))</f>
        <v>B</v>
      </c>
      <c r="X9" s="5">
        <f>COUNTIFS(Q9:W9,"E")</f>
        <v>1</v>
      </c>
      <c r="Y9" s="1">
        <f>COUNTIF(Q9:W9,"A")</f>
        <v>0</v>
      </c>
      <c r="Z9" s="1">
        <f>COUNTIF(Q9:W9,"M")</f>
        <v>1</v>
      </c>
      <c r="AA9" s="182">
        <f>COUNTIF(Q9:W9,"B")</f>
        <v>2</v>
      </c>
      <c r="AB9" s="5">
        <f>SUM(X9:AA9)</f>
        <v>4</v>
      </c>
      <c r="AC9" s="183" t="str">
        <f>+IF((X9/AB9)&gt;=0.2,"Extremo",+IF(((X9/AB9)+(Y9/AB9))&gt;=0.3,"Alto",+IF(((X9/AB9)+(Y9/AB9)+(Z9/AB9))&gt;=0.4,"Moderado",+IF((X9/AB9)+(Y9/AB9)+(Z9/AB9)+(AA9/AB9)&gt;=0.5,"Bajo",""))))</f>
        <v>Extremo</v>
      </c>
      <c r="AI9" t="s">
        <v>355</v>
      </c>
    </row>
    <row r="10" spans="1:35" ht="45" x14ac:dyDescent="0.25">
      <c r="A10" s="401" t="str">
        <f>+'PRIORIZACIÓN (2)'!B12</f>
        <v>Bronx Distrito Creativo  - Avance Obra - Cumplimiento cronogramas y ejecución presupuestal</v>
      </c>
      <c r="B10" s="191" t="str">
        <f>+IF('PRIORIZACIÓN (2)'!I12&gt;0%,"YA CUENTA CON PONDERACIÓN DE RIESGOS, NO DILIGENCIAR ANALISIS OCI", "DILIGENCIE ANALISIS OCI PARA ESTA UNIDAD AUDITABLE")</f>
        <v>YA CUENTA CON PONDERACIÓN DE RIESGOS, NO DILIGENCIAR ANALISIS OCI</v>
      </c>
      <c r="C10" s="184" t="s">
        <v>368</v>
      </c>
      <c r="D10" s="1"/>
      <c r="E10" s="1" t="s">
        <v>658</v>
      </c>
      <c r="F10" s="1"/>
      <c r="G10" s="185" t="s">
        <v>368</v>
      </c>
      <c r="H10" s="1"/>
      <c r="I10" s="185" t="s">
        <v>368</v>
      </c>
      <c r="J10" s="1"/>
      <c r="K10" s="1" t="s">
        <v>659</v>
      </c>
      <c r="L10" s="1"/>
      <c r="M10" s="1" t="s">
        <v>367</v>
      </c>
      <c r="N10" s="1"/>
      <c r="O10" s="1" t="s">
        <v>660</v>
      </c>
      <c r="P10" s="182" t="str">
        <f t="shared" ref="P10:P17" si="2">IF($O10="Critica no recuperable","E",IF($O10="Critica con recuperación parcial","A",IF($O10="Falta de oportunidad para atención usuarios","M",IF($O10="Falta de oportunidad para gestión de los procesos","B",0))))</f>
        <v>B</v>
      </c>
      <c r="Q10" s="1">
        <f t="shared" ref="Q10:Q73" si="3">IF($C10="EXTREMA","E",IF($C10="ALTA","A",IF($C10="MEDIA","M",IF($C10="BAJA","B",0))))</f>
        <v>0</v>
      </c>
      <c r="R10" s="1" t="str">
        <f t="shared" si="0"/>
        <v>B</v>
      </c>
      <c r="S10" s="1">
        <f t="shared" ref="S10:S73" si="4">IF($G10="EXTREMA","E",IF($G10="ALTA","A",IF($G10="MEDIA","M",IF($G10="BAJA","B",0))))</f>
        <v>0</v>
      </c>
      <c r="T10" s="1">
        <f t="shared" ref="T10:T73" si="5">IF($I10="EXTREMA","E",IF($I10="ALTA","A",IF($I10="MEDIA","M",IF($I10="BAJA","B",0))))</f>
        <v>0</v>
      </c>
      <c r="U10" s="1" t="str">
        <f t="shared" si="1"/>
        <v>E</v>
      </c>
      <c r="V10" s="1" t="str">
        <f t="shared" ref="V10:V73" si="6">IF($M10="EXTREMA","E",IF($M10="ALTA","A",IF($M10="MEDIA","M",IF($M10="BAJA","B",0))))</f>
        <v>M</v>
      </c>
      <c r="W10" s="181" t="str">
        <f t="shared" ref="W10:W73" si="7">IF($O10="Critica no recuperable","E",IF($O10="Critica con recuperación parcial","A",IF($O10="Falta de oportunidad para atención usuarios","M",IF($O10="Falta de oportunidad para gestión de los procesos","B",0))))</f>
        <v>B</v>
      </c>
      <c r="X10" s="5">
        <f t="shared" ref="X10:X17" si="8">COUNTIFS(Q10:W10,"E")</f>
        <v>1</v>
      </c>
      <c r="Y10" s="1">
        <f t="shared" ref="Y10:Y17" si="9">COUNTIF(Q10:W10,"A")</f>
        <v>0</v>
      </c>
      <c r="Z10" s="1">
        <f t="shared" ref="Z10:Z17" si="10">COUNTIF(Q10:W10,"M")</f>
        <v>1</v>
      </c>
      <c r="AA10" s="182">
        <f t="shared" ref="AA10:AA17" si="11">COUNTIF(Q10:W10,"B")</f>
        <v>2</v>
      </c>
      <c r="AB10" s="5">
        <f t="shared" ref="AB10:AB17" si="12">SUM(X10:AA10)</f>
        <v>4</v>
      </c>
      <c r="AC10" s="183" t="str">
        <f t="shared" ref="AC10:AC17" si="13">+IF((X10/AB10)&gt;=0.2,"Extremo",+IF(((X10/AB10)+(Y10/AB10))&gt;=0.3,"Alto",+IF(((X10/AB10)+(Y10/AB10)+(Z10/AB10))&gt;=0.4,"Moderado",+IF((X10/AB10)+(Y10/AB10)+(Z10/AB10)+(AA10/AB10)&gt;=0.5,"Bajo",""))))</f>
        <v>Extremo</v>
      </c>
      <c r="AI10" t="s">
        <v>356</v>
      </c>
    </row>
    <row r="11" spans="1:35" ht="45" x14ac:dyDescent="0.25">
      <c r="A11" s="401" t="str">
        <f>+'PRIORIZACIÓN (2)'!B13</f>
        <v>Centro de Formación para el trabajo (SENA)  - Avance Obra - Cumplimiento cronogramas y ejecución presupuestal</v>
      </c>
      <c r="B11" s="191" t="str">
        <f>+IF('PRIORIZACIÓN (2)'!I13&gt;0%,"YA CUENTA CON PONDERACIÓN DE RIESGOS, NO DILIGENCIAR ANALISIS OCI", "DILIGENCIE ANALISIS OCI PARA ESTA UNIDAD AUDITABLE")</f>
        <v>YA CUENTA CON PONDERACIÓN DE RIESGOS, NO DILIGENCIAR ANALISIS OCI</v>
      </c>
      <c r="C11" s="184" t="s">
        <v>368</v>
      </c>
      <c r="D11" s="1"/>
      <c r="E11" s="1" t="s">
        <v>658</v>
      </c>
      <c r="F11" s="1"/>
      <c r="G11" s="185" t="s">
        <v>368</v>
      </c>
      <c r="H11" s="1"/>
      <c r="I11" s="185" t="s">
        <v>368</v>
      </c>
      <c r="J11" s="1"/>
      <c r="K11" s="1" t="s">
        <v>659</v>
      </c>
      <c r="L11" s="1"/>
      <c r="M11" s="1" t="s">
        <v>367</v>
      </c>
      <c r="N11" s="1"/>
      <c r="O11" s="1" t="s">
        <v>660</v>
      </c>
      <c r="P11" s="182" t="str">
        <f t="shared" si="2"/>
        <v>B</v>
      </c>
      <c r="Q11" s="1">
        <f t="shared" si="3"/>
        <v>0</v>
      </c>
      <c r="R11" s="1" t="str">
        <f t="shared" si="0"/>
        <v>B</v>
      </c>
      <c r="S11" s="1">
        <f t="shared" si="4"/>
        <v>0</v>
      </c>
      <c r="T11" s="1">
        <f t="shared" si="5"/>
        <v>0</v>
      </c>
      <c r="U11" s="1" t="str">
        <f t="shared" si="1"/>
        <v>E</v>
      </c>
      <c r="V11" s="1" t="str">
        <f t="shared" si="6"/>
        <v>M</v>
      </c>
      <c r="W11" s="181" t="str">
        <f t="shared" si="7"/>
        <v>B</v>
      </c>
      <c r="X11" s="5">
        <f t="shared" si="8"/>
        <v>1</v>
      </c>
      <c r="Y11" s="1">
        <f t="shared" si="9"/>
        <v>0</v>
      </c>
      <c r="Z11" s="1">
        <f t="shared" si="10"/>
        <v>1</v>
      </c>
      <c r="AA11" s="182">
        <f t="shared" si="11"/>
        <v>2</v>
      </c>
      <c r="AB11" s="5">
        <f t="shared" si="12"/>
        <v>4</v>
      </c>
      <c r="AC11" s="183" t="str">
        <f t="shared" si="13"/>
        <v>Extremo</v>
      </c>
    </row>
    <row r="12" spans="1:35" ht="30" x14ac:dyDescent="0.25">
      <c r="A12" s="401" t="str">
        <f>+'PRIORIZACIÓN (2)'!B14</f>
        <v>Direccionamiento Estratégico y Gobierno Corporativo</v>
      </c>
      <c r="B12" s="191" t="str">
        <f>+IF('PRIORIZACIÓN (2)'!I14&gt;0%,"YA CUENTA CON PONDERACIÓN DE RIESGOS, NO DILIGENCIAR ANALISIS OCI", "DILIGENCIE ANALISIS OCI PARA ESTA UNIDAD AUDITABLE")</f>
        <v>YA CUENTA CON PONDERACIÓN DE RIESGOS, NO DILIGENCIAR ANALISIS OCI</v>
      </c>
      <c r="C12" s="184" t="s">
        <v>366</v>
      </c>
      <c r="D12" s="1"/>
      <c r="E12" s="1" t="s">
        <v>658</v>
      </c>
      <c r="F12" s="1"/>
      <c r="G12" s="185" t="s">
        <v>368</v>
      </c>
      <c r="H12" s="1"/>
      <c r="I12" s="185" t="s">
        <v>366</v>
      </c>
      <c r="J12" s="1"/>
      <c r="K12" s="1" t="s">
        <v>662</v>
      </c>
      <c r="L12" s="1"/>
      <c r="M12" s="1" t="s">
        <v>367</v>
      </c>
      <c r="N12" s="1"/>
      <c r="O12" s="1" t="s">
        <v>660</v>
      </c>
      <c r="P12" s="182" t="str">
        <f t="shared" si="2"/>
        <v>B</v>
      </c>
      <c r="Q12" s="1" t="str">
        <f t="shared" si="3"/>
        <v>B</v>
      </c>
      <c r="R12" s="1" t="str">
        <f t="shared" si="0"/>
        <v>B</v>
      </c>
      <c r="S12" s="1">
        <f t="shared" si="4"/>
        <v>0</v>
      </c>
      <c r="T12" s="1" t="str">
        <f t="shared" si="5"/>
        <v>B</v>
      </c>
      <c r="U12" s="1" t="str">
        <f t="shared" si="1"/>
        <v>A</v>
      </c>
      <c r="V12" s="1" t="str">
        <f t="shared" si="6"/>
        <v>M</v>
      </c>
      <c r="W12" s="181" t="str">
        <f t="shared" si="7"/>
        <v>B</v>
      </c>
      <c r="X12" s="5">
        <f t="shared" si="8"/>
        <v>0</v>
      </c>
      <c r="Y12" s="1">
        <f t="shared" si="9"/>
        <v>1</v>
      </c>
      <c r="Z12" s="1">
        <f t="shared" si="10"/>
        <v>1</v>
      </c>
      <c r="AA12" s="182">
        <f t="shared" si="11"/>
        <v>4</v>
      </c>
      <c r="AB12" s="5">
        <f t="shared" si="12"/>
        <v>6</v>
      </c>
      <c r="AC12" s="183" t="str">
        <f t="shared" si="13"/>
        <v>Bajo</v>
      </c>
    </row>
    <row r="13" spans="1:35" ht="30" x14ac:dyDescent="0.25">
      <c r="A13" s="401" t="str">
        <f>+'PRIORIZACIÓN (2)'!B15</f>
        <v>Seguimiento Cumplimiento Norma Archivística ERU</v>
      </c>
      <c r="B13" s="191" t="str">
        <f>+IF('PRIORIZACIÓN (2)'!I15&gt;0%,"YA CUENTA CON PONDERACIÓN DE RIESGOS, NO DILIGENCIAR ANALISIS OCI", "DILIGENCIE ANALISIS OCI PARA ESTA UNIDAD AUDITABLE")</f>
        <v>YA CUENTA CON PONDERACIÓN DE RIESGOS, NO DILIGENCIAR ANALISIS OCI</v>
      </c>
      <c r="C13" s="184" t="s">
        <v>368</v>
      </c>
      <c r="D13" s="1"/>
      <c r="E13" s="1" t="s">
        <v>658</v>
      </c>
      <c r="F13" s="1"/>
      <c r="G13" s="185" t="s">
        <v>368</v>
      </c>
      <c r="H13" s="1"/>
      <c r="I13" s="185" t="s">
        <v>368</v>
      </c>
      <c r="J13" s="1"/>
      <c r="K13" s="1" t="s">
        <v>662</v>
      </c>
      <c r="L13" s="1"/>
      <c r="M13" s="1" t="s">
        <v>368</v>
      </c>
      <c r="N13" s="1"/>
      <c r="O13" s="1" t="s">
        <v>663</v>
      </c>
      <c r="P13" s="182" t="str">
        <f t="shared" si="2"/>
        <v>M</v>
      </c>
      <c r="Q13" s="1">
        <f t="shared" si="3"/>
        <v>0</v>
      </c>
      <c r="R13" s="1" t="str">
        <f t="shared" si="0"/>
        <v>B</v>
      </c>
      <c r="S13" s="1">
        <f t="shared" si="4"/>
        <v>0</v>
      </c>
      <c r="T13" s="1">
        <f t="shared" si="5"/>
        <v>0</v>
      </c>
      <c r="U13" s="1" t="str">
        <f t="shared" si="1"/>
        <v>A</v>
      </c>
      <c r="V13" s="1">
        <f t="shared" si="6"/>
        <v>0</v>
      </c>
      <c r="W13" s="181" t="str">
        <f t="shared" si="7"/>
        <v>M</v>
      </c>
      <c r="X13" s="5">
        <f t="shared" si="8"/>
        <v>0</v>
      </c>
      <c r="Y13" s="1">
        <f t="shared" si="9"/>
        <v>1</v>
      </c>
      <c r="Z13" s="1">
        <f t="shared" si="10"/>
        <v>1</v>
      </c>
      <c r="AA13" s="182">
        <f t="shared" si="11"/>
        <v>1</v>
      </c>
      <c r="AB13" s="5">
        <f t="shared" si="12"/>
        <v>3</v>
      </c>
      <c r="AC13" s="183" t="str">
        <f t="shared" si="13"/>
        <v>Alto</v>
      </c>
    </row>
    <row r="14" spans="1:35" ht="30" x14ac:dyDescent="0.25">
      <c r="A14" s="401" t="str">
        <f>+'PRIORIZACIÓN (2)'!B16</f>
        <v xml:space="preserve">Auditoria Gestión Suelo </v>
      </c>
      <c r="B14" s="191" t="str">
        <f>+IF('PRIORIZACIÓN (2)'!I16&gt;0%,"YA CUENTA CON PONDERACIÓN DE RIESGOS, NO DILIGENCIAR ANALISIS OCI", "DILIGENCIE ANALISIS OCI PARA ESTA UNIDAD AUDITABLE")</f>
        <v>YA CUENTA CON PONDERACIÓN DE RIESGOS, NO DILIGENCIAR ANALISIS OCI</v>
      </c>
      <c r="C14" s="184" t="s">
        <v>368</v>
      </c>
      <c r="D14" s="1"/>
      <c r="E14" s="1" t="s">
        <v>658</v>
      </c>
      <c r="F14" s="1"/>
      <c r="G14" s="185" t="s">
        <v>368</v>
      </c>
      <c r="H14" s="1"/>
      <c r="I14" s="185" t="s">
        <v>368</v>
      </c>
      <c r="J14" s="1"/>
      <c r="K14" s="1" t="s">
        <v>659</v>
      </c>
      <c r="L14" s="1"/>
      <c r="M14" s="1" t="s">
        <v>367</v>
      </c>
      <c r="N14" s="1"/>
      <c r="O14" s="1" t="s">
        <v>660</v>
      </c>
      <c r="P14" s="182" t="str">
        <f t="shared" si="2"/>
        <v>B</v>
      </c>
      <c r="Q14" s="1">
        <f t="shared" si="3"/>
        <v>0</v>
      </c>
      <c r="R14" s="1" t="str">
        <f t="shared" si="0"/>
        <v>B</v>
      </c>
      <c r="S14" s="1">
        <f t="shared" si="4"/>
        <v>0</v>
      </c>
      <c r="T14" s="1">
        <f t="shared" si="5"/>
        <v>0</v>
      </c>
      <c r="U14" s="1" t="str">
        <f t="shared" si="1"/>
        <v>E</v>
      </c>
      <c r="V14" s="1" t="str">
        <f t="shared" si="6"/>
        <v>M</v>
      </c>
      <c r="W14" s="181" t="str">
        <f t="shared" si="7"/>
        <v>B</v>
      </c>
      <c r="X14" s="5">
        <f t="shared" si="8"/>
        <v>1</v>
      </c>
      <c r="Y14" s="1">
        <f t="shared" si="9"/>
        <v>0</v>
      </c>
      <c r="Z14" s="1">
        <f t="shared" si="10"/>
        <v>1</v>
      </c>
      <c r="AA14" s="182">
        <f t="shared" si="11"/>
        <v>2</v>
      </c>
      <c r="AB14" s="5">
        <f t="shared" si="12"/>
        <v>4</v>
      </c>
      <c r="AC14" s="183" t="str">
        <f t="shared" si="13"/>
        <v>Extremo</v>
      </c>
    </row>
    <row r="15" spans="1:35" ht="30" x14ac:dyDescent="0.25">
      <c r="A15" s="401" t="str">
        <f>+'PRIORIZACIÓN (2)'!B17</f>
        <v xml:space="preserve">Sistema de Información Misional </v>
      </c>
      <c r="B15" s="191" t="str">
        <f>+IF('PRIORIZACIÓN (2)'!I17&gt;0%,"YA CUENTA CON PONDERACIÓN DE RIESGOS, NO DILIGENCIAR ANALISIS OCI", "DILIGENCIE ANALISIS OCI PARA ESTA UNIDAD AUDITABLE")</f>
        <v>YA CUENTA CON PONDERACIÓN DE RIESGOS, NO DILIGENCIAR ANALISIS OCI</v>
      </c>
      <c r="C15" s="184" t="s">
        <v>368</v>
      </c>
      <c r="D15" s="1"/>
      <c r="E15" s="1" t="s">
        <v>658</v>
      </c>
      <c r="F15" s="1"/>
      <c r="G15" s="185" t="s">
        <v>368</v>
      </c>
      <c r="H15" s="1"/>
      <c r="I15" s="185" t="s">
        <v>368</v>
      </c>
      <c r="J15" s="1"/>
      <c r="K15" s="1" t="s">
        <v>662</v>
      </c>
      <c r="L15" s="1"/>
      <c r="M15" s="1" t="s">
        <v>368</v>
      </c>
      <c r="N15" s="1"/>
      <c r="O15" s="1" t="s">
        <v>663</v>
      </c>
      <c r="P15" s="182" t="str">
        <f t="shared" si="2"/>
        <v>M</v>
      </c>
      <c r="Q15" s="1">
        <f t="shared" si="3"/>
        <v>0</v>
      </c>
      <c r="R15" s="1" t="str">
        <f t="shared" si="0"/>
        <v>B</v>
      </c>
      <c r="S15" s="1">
        <f t="shared" si="4"/>
        <v>0</v>
      </c>
      <c r="T15" s="1">
        <f t="shared" si="5"/>
        <v>0</v>
      </c>
      <c r="U15" s="1" t="str">
        <f t="shared" si="1"/>
        <v>A</v>
      </c>
      <c r="V15" s="1">
        <f t="shared" si="6"/>
        <v>0</v>
      </c>
      <c r="W15" s="181" t="str">
        <f t="shared" si="7"/>
        <v>M</v>
      </c>
      <c r="X15" s="5">
        <f t="shared" si="8"/>
        <v>0</v>
      </c>
      <c r="Y15" s="1">
        <f t="shared" si="9"/>
        <v>1</v>
      </c>
      <c r="Z15" s="1">
        <f t="shared" si="10"/>
        <v>1</v>
      </c>
      <c r="AA15" s="182">
        <f t="shared" si="11"/>
        <v>1</v>
      </c>
      <c r="AB15" s="5">
        <f t="shared" si="12"/>
        <v>3</v>
      </c>
      <c r="AC15" s="183" t="str">
        <f t="shared" si="13"/>
        <v>Alto</v>
      </c>
    </row>
    <row r="16" spans="1:35" ht="30" x14ac:dyDescent="0.25">
      <c r="A16" s="401" t="str">
        <f>+'PRIORIZACIÓN (2)'!B19</f>
        <v>Seguimiento Ejecución y avance de proyectos</v>
      </c>
      <c r="B16" s="191" t="str">
        <f>+IF('PRIORIZACIÓN (2)'!I19&gt;0%,"YA CUENTA CON PONDERACIÓN DE RIESGOS, NO DILIGENCIAR ANALISIS OCI", "DILIGENCIE ANALISIS OCI PARA ESTA UNIDAD AUDITABLE")</f>
        <v>YA CUENTA CON PONDERACIÓN DE RIESGOS, NO DILIGENCIAR ANALISIS OCI</v>
      </c>
      <c r="C16" s="184" t="s">
        <v>369</v>
      </c>
      <c r="D16" s="1"/>
      <c r="E16" s="1" t="s">
        <v>658</v>
      </c>
      <c r="F16" s="1"/>
      <c r="G16" s="185" t="s">
        <v>368</v>
      </c>
      <c r="H16" s="1"/>
      <c r="I16" s="185" t="s">
        <v>366</v>
      </c>
      <c r="J16" s="1"/>
      <c r="K16" s="1" t="s">
        <v>664</v>
      </c>
      <c r="L16" s="1"/>
      <c r="M16" s="1" t="s">
        <v>368</v>
      </c>
      <c r="N16" s="1"/>
      <c r="O16" s="1" t="s">
        <v>663</v>
      </c>
      <c r="P16" s="182" t="str">
        <f t="shared" si="2"/>
        <v>M</v>
      </c>
      <c r="Q16" s="1" t="str">
        <f t="shared" si="3"/>
        <v>E</v>
      </c>
      <c r="R16" s="1" t="str">
        <f t="shared" si="0"/>
        <v>B</v>
      </c>
      <c r="S16" s="1">
        <f t="shared" si="4"/>
        <v>0</v>
      </c>
      <c r="T16" s="1" t="str">
        <f t="shared" si="5"/>
        <v>B</v>
      </c>
      <c r="U16" s="1" t="str">
        <f t="shared" si="1"/>
        <v>M</v>
      </c>
      <c r="V16" s="1">
        <f t="shared" si="6"/>
        <v>0</v>
      </c>
      <c r="W16" s="181" t="str">
        <f t="shared" si="7"/>
        <v>M</v>
      </c>
      <c r="X16" s="5">
        <f t="shared" si="8"/>
        <v>1</v>
      </c>
      <c r="Y16" s="1">
        <f t="shared" si="9"/>
        <v>0</v>
      </c>
      <c r="Z16" s="1">
        <f t="shared" si="10"/>
        <v>2</v>
      </c>
      <c r="AA16" s="182">
        <f t="shared" si="11"/>
        <v>2</v>
      </c>
      <c r="AB16" s="5">
        <f t="shared" si="12"/>
        <v>5</v>
      </c>
      <c r="AC16" s="183" t="str">
        <f t="shared" si="13"/>
        <v>Extremo</v>
      </c>
    </row>
    <row r="17" spans="1:29" ht="30" x14ac:dyDescent="0.25">
      <c r="A17" s="401" t="str">
        <f>+'PRIORIZACIÓN (2)'!B20</f>
        <v>Auditoria Contratos arrendamiento - Predios San Victorino</v>
      </c>
      <c r="B17" s="191" t="str">
        <f>+IF('PRIORIZACIÓN (2)'!I20&gt;0%,"YA CUENTA CON PONDERACIÓN DE RIESGOS, NO DILIGENCIAR ANALISIS OCI", "DILIGENCIE ANALISIS OCI PARA ESTA UNIDAD AUDITABLE")</f>
        <v>YA CUENTA CON PONDERACIÓN DE RIESGOS, NO DILIGENCIAR ANALISIS OCI</v>
      </c>
      <c r="C17" s="184" t="s">
        <v>368</v>
      </c>
      <c r="D17" s="1"/>
      <c r="E17" s="1" t="s">
        <v>658</v>
      </c>
      <c r="F17" s="1"/>
      <c r="G17" s="185" t="s">
        <v>368</v>
      </c>
      <c r="H17" s="1"/>
      <c r="I17" s="185" t="s">
        <v>368</v>
      </c>
      <c r="J17" s="1"/>
      <c r="K17" s="1" t="s">
        <v>659</v>
      </c>
      <c r="L17" s="1"/>
      <c r="M17" s="1" t="s">
        <v>368</v>
      </c>
      <c r="N17" s="1"/>
      <c r="O17" s="1" t="s">
        <v>660</v>
      </c>
      <c r="P17" s="182" t="str">
        <f t="shared" si="2"/>
        <v>B</v>
      </c>
      <c r="Q17" s="1">
        <f t="shared" si="3"/>
        <v>0</v>
      </c>
      <c r="R17" s="1" t="str">
        <f t="shared" si="0"/>
        <v>B</v>
      </c>
      <c r="S17" s="1">
        <f t="shared" si="4"/>
        <v>0</v>
      </c>
      <c r="T17" s="1">
        <f t="shared" si="5"/>
        <v>0</v>
      </c>
      <c r="U17" s="1" t="str">
        <f t="shared" si="1"/>
        <v>E</v>
      </c>
      <c r="V17" s="1">
        <f t="shared" si="6"/>
        <v>0</v>
      </c>
      <c r="W17" s="181" t="str">
        <f t="shared" si="7"/>
        <v>B</v>
      </c>
      <c r="X17" s="5">
        <f t="shared" si="8"/>
        <v>1</v>
      </c>
      <c r="Y17" s="1">
        <f t="shared" si="9"/>
        <v>0</v>
      </c>
      <c r="Z17" s="1">
        <f t="shared" si="10"/>
        <v>0</v>
      </c>
      <c r="AA17" s="182">
        <f t="shared" si="11"/>
        <v>2</v>
      </c>
      <c r="AB17" s="5">
        <f t="shared" si="12"/>
        <v>3</v>
      </c>
      <c r="AC17" s="183" t="str">
        <f t="shared" si="13"/>
        <v>Extremo</v>
      </c>
    </row>
    <row r="18" spans="1:29" ht="30" x14ac:dyDescent="0.25">
      <c r="A18" s="401" t="str">
        <f>+'PRIORIZACIÓN (2)'!B21</f>
        <v>Voto Nacional (Incluye Edificio Formación para el Trabajo)</v>
      </c>
      <c r="B18" s="191" t="str">
        <f>+IF('PRIORIZACIÓN (2)'!I21&gt;0%,"YA CUENTA CON PONDERACIÓN DE RIESGOS, NO DILIGENCIAR ANALISIS OCI", "DILIGENCIE ANALISIS OCI PARA ESTA UNIDAD AUDITABLE")</f>
        <v>YA CUENTA CON PONDERACIÓN DE RIESGOS, NO DILIGENCIAR ANALISIS OCI</v>
      </c>
      <c r="C18" s="184" t="s">
        <v>368</v>
      </c>
      <c r="D18" s="1"/>
      <c r="E18" s="1" t="s">
        <v>658</v>
      </c>
      <c r="F18" s="1"/>
      <c r="G18" s="185" t="s">
        <v>366</v>
      </c>
      <c r="H18" s="1"/>
      <c r="I18" s="185" t="s">
        <v>366</v>
      </c>
      <c r="J18" s="1"/>
      <c r="K18" s="1" t="s">
        <v>659</v>
      </c>
      <c r="L18" s="1"/>
      <c r="M18" s="1" t="s">
        <v>368</v>
      </c>
      <c r="N18" s="1"/>
      <c r="O18" s="1" t="s">
        <v>660</v>
      </c>
      <c r="P18" s="182" t="str">
        <f t="shared" ref="P18:P35" si="14">IF($O18="Critica no recuperable","E",IF($O18="Critica con recuperación parcial","A",IF($O18="Falta de oportunidad para atención usuarios","M",IF($O18="Falta de oportunidad para gestión de los procesos","B",0))))</f>
        <v>B</v>
      </c>
      <c r="Q18" s="1">
        <f t="shared" si="3"/>
        <v>0</v>
      </c>
      <c r="R18" s="1" t="str">
        <f t="shared" si="0"/>
        <v>B</v>
      </c>
      <c r="S18" s="1" t="str">
        <f t="shared" si="4"/>
        <v>B</v>
      </c>
      <c r="T18" s="1" t="str">
        <f t="shared" si="5"/>
        <v>B</v>
      </c>
      <c r="U18" s="1" t="str">
        <f t="shared" si="1"/>
        <v>E</v>
      </c>
      <c r="V18" s="1">
        <f t="shared" si="6"/>
        <v>0</v>
      </c>
      <c r="W18" s="181" t="str">
        <f t="shared" si="7"/>
        <v>B</v>
      </c>
      <c r="X18" s="5">
        <f t="shared" ref="X18:X23" si="15">COUNTIFS(Q18:W18,"E")</f>
        <v>1</v>
      </c>
      <c r="Y18" s="1">
        <f t="shared" ref="Y18:Y23" si="16">COUNTIF(Q18:W18,"A")</f>
        <v>0</v>
      </c>
      <c r="Z18" s="1">
        <f t="shared" ref="Z18:Z23" si="17">COUNTIF(Q18:W18,"M")</f>
        <v>0</v>
      </c>
      <c r="AA18" s="182">
        <f t="shared" ref="AA18:AA23" si="18">COUNTIF(Q18:W18,"B")</f>
        <v>4</v>
      </c>
      <c r="AB18" s="5">
        <f t="shared" ref="AB18:AB23" si="19">SUM(X18:AA18)</f>
        <v>5</v>
      </c>
      <c r="AC18" s="183" t="str">
        <f t="shared" ref="AC18:AC23" si="20">+IF((X18/AB18)&gt;=0.2,"Extremo",+IF(((X18/AB18)+(Y18/AB18))&gt;=0.3,"Alto",+IF(((X18/AB18)+(Y18/AB18)+(Z18/AB18))&gt;=0.4,"Moderado",+IF((X18/AB18)+(Y18/AB18)+(Z18/AB18)+(AA18/AB18)&gt;=0.5,"Bajo",""))))</f>
        <v>Extremo</v>
      </c>
    </row>
    <row r="19" spans="1:29" ht="30" x14ac:dyDescent="0.25">
      <c r="A19" s="401" t="str">
        <f>+'PRIORIZACIÓN (2)'!B22</f>
        <v>Auditoria Proceso Terceros Concurrentes</v>
      </c>
      <c r="B19" s="191" t="str">
        <f>+IF('PRIORIZACIÓN (2)'!I22&gt;0%,"YA CUENTA CON PONDERACIÓN DE RIESGOS, NO DILIGENCIAR ANALISIS OCI", "DILIGENCIE ANALISIS OCI PARA ESTA UNIDAD AUDITABLE")</f>
        <v>YA CUENTA CON PONDERACIÓN DE RIESGOS, NO DILIGENCIAR ANALISIS OCI</v>
      </c>
      <c r="C19" s="184" t="s">
        <v>368</v>
      </c>
      <c r="D19" s="1"/>
      <c r="E19" s="1" t="s">
        <v>661</v>
      </c>
      <c r="F19" s="1"/>
      <c r="G19" s="185" t="s">
        <v>367</v>
      </c>
      <c r="H19" s="1"/>
      <c r="I19" s="185" t="s">
        <v>366</v>
      </c>
      <c r="J19" s="1"/>
      <c r="K19" s="1" t="s">
        <v>662</v>
      </c>
      <c r="L19" s="1"/>
      <c r="M19" s="1" t="s">
        <v>366</v>
      </c>
      <c r="N19" s="1"/>
      <c r="O19" s="1" t="s">
        <v>663</v>
      </c>
      <c r="P19" s="182" t="str">
        <f t="shared" si="14"/>
        <v>M</v>
      </c>
      <c r="Q19" s="1">
        <f t="shared" si="3"/>
        <v>0</v>
      </c>
      <c r="R19" s="1" t="str">
        <f t="shared" si="0"/>
        <v>A</v>
      </c>
      <c r="S19" s="1" t="str">
        <f t="shared" si="4"/>
        <v>M</v>
      </c>
      <c r="T19" s="1" t="str">
        <f t="shared" si="5"/>
        <v>B</v>
      </c>
      <c r="U19" s="1" t="str">
        <f t="shared" si="1"/>
        <v>A</v>
      </c>
      <c r="V19" s="1" t="str">
        <f t="shared" si="6"/>
        <v>B</v>
      </c>
      <c r="W19" s="181" t="str">
        <f t="shared" si="7"/>
        <v>M</v>
      </c>
      <c r="X19" s="5">
        <f t="shared" si="15"/>
        <v>0</v>
      </c>
      <c r="Y19" s="1">
        <f t="shared" si="16"/>
        <v>2</v>
      </c>
      <c r="Z19" s="1">
        <f t="shared" si="17"/>
        <v>2</v>
      </c>
      <c r="AA19" s="182">
        <f t="shared" si="18"/>
        <v>2</v>
      </c>
      <c r="AB19" s="5">
        <f t="shared" si="19"/>
        <v>6</v>
      </c>
      <c r="AC19" s="183" t="str">
        <f t="shared" si="20"/>
        <v>Alto</v>
      </c>
    </row>
    <row r="20" spans="1:29" ht="30" x14ac:dyDescent="0.25">
      <c r="A20" s="401" t="str">
        <f>+'PRIORIZACIÓN (2)'!B23</f>
        <v>Sistemas de Información Misionales de la Empresa (Contratación)</v>
      </c>
      <c r="B20" s="191" t="str">
        <f>+IF('PRIORIZACIÓN (2)'!I23&gt;0%,"YA CUENTA CON PONDERACIÓN DE RIESGOS, NO DILIGENCIAR ANALISIS OCI", "DILIGENCIE ANALISIS OCI PARA ESTA UNIDAD AUDITABLE")</f>
        <v>YA CUENTA CON PONDERACIÓN DE RIESGOS, NO DILIGENCIAR ANALISIS OCI</v>
      </c>
      <c r="C20" s="184" t="s">
        <v>369</v>
      </c>
      <c r="D20" s="1"/>
      <c r="E20" s="1" t="s">
        <v>658</v>
      </c>
      <c r="F20" s="1"/>
      <c r="G20" s="185" t="s">
        <v>368</v>
      </c>
      <c r="H20" s="1"/>
      <c r="I20" s="185" t="s">
        <v>367</v>
      </c>
      <c r="J20" s="1"/>
      <c r="K20" s="1" t="s">
        <v>664</v>
      </c>
      <c r="L20" s="1"/>
      <c r="M20" s="1" t="s">
        <v>368</v>
      </c>
      <c r="N20" s="1"/>
      <c r="O20" s="1" t="s">
        <v>663</v>
      </c>
      <c r="P20" s="182" t="str">
        <f t="shared" si="14"/>
        <v>M</v>
      </c>
      <c r="Q20" s="1" t="str">
        <f t="shared" si="3"/>
        <v>E</v>
      </c>
      <c r="R20" s="1" t="str">
        <f t="shared" si="0"/>
        <v>B</v>
      </c>
      <c r="S20" s="1">
        <f t="shared" si="4"/>
        <v>0</v>
      </c>
      <c r="T20" s="1" t="str">
        <f t="shared" si="5"/>
        <v>M</v>
      </c>
      <c r="U20" s="1" t="str">
        <f t="shared" si="1"/>
        <v>M</v>
      </c>
      <c r="V20" s="1">
        <f t="shared" si="6"/>
        <v>0</v>
      </c>
      <c r="W20" s="181" t="str">
        <f t="shared" si="7"/>
        <v>M</v>
      </c>
      <c r="X20" s="5">
        <f t="shared" si="15"/>
        <v>1</v>
      </c>
      <c r="Y20" s="1">
        <f t="shared" si="16"/>
        <v>0</v>
      </c>
      <c r="Z20" s="1">
        <f t="shared" si="17"/>
        <v>3</v>
      </c>
      <c r="AA20" s="182">
        <f t="shared" si="18"/>
        <v>1</v>
      </c>
      <c r="AB20" s="5">
        <f t="shared" si="19"/>
        <v>5</v>
      </c>
      <c r="AC20" s="183" t="str">
        <f t="shared" si="20"/>
        <v>Extremo</v>
      </c>
    </row>
    <row r="21" spans="1:29" ht="45" x14ac:dyDescent="0.25">
      <c r="A21" s="401" t="str">
        <f>+'PRIORIZACIÓN (2)'!B24</f>
        <v>Servicios Administrativos y de apoyo - PIGA - Talento Humano -  Servicios Logísticos</v>
      </c>
      <c r="B21" s="191" t="str">
        <f>+IF('PRIORIZACIÓN (2)'!I24&gt;0%,"YA CUENTA CON PONDERACIÓN DE RIESGOS, NO DILIGENCIAR ANALISIS OCI", "DILIGENCIE ANALISIS OCI PARA ESTA UNIDAD AUDITABLE")</f>
        <v>YA CUENTA CON PONDERACIÓN DE RIESGOS, NO DILIGENCIAR ANALISIS OCI</v>
      </c>
      <c r="C21" s="184" t="s">
        <v>366</v>
      </c>
      <c r="D21" s="1"/>
      <c r="E21" s="1" t="s">
        <v>658</v>
      </c>
      <c r="F21" s="1"/>
      <c r="G21" s="185" t="s">
        <v>369</v>
      </c>
      <c r="H21" s="1"/>
      <c r="I21" s="185" t="s">
        <v>368</v>
      </c>
      <c r="J21" s="1"/>
      <c r="K21" s="1" t="s">
        <v>665</v>
      </c>
      <c r="L21" s="1"/>
      <c r="M21" s="1" t="s">
        <v>368</v>
      </c>
      <c r="N21" s="1"/>
      <c r="O21" s="1" t="s">
        <v>663</v>
      </c>
      <c r="P21" s="182" t="str">
        <f t="shared" si="14"/>
        <v>M</v>
      </c>
      <c r="Q21" s="1" t="str">
        <f t="shared" si="3"/>
        <v>B</v>
      </c>
      <c r="R21" s="1" t="str">
        <f t="shared" si="0"/>
        <v>B</v>
      </c>
      <c r="S21" s="1" t="str">
        <f t="shared" si="4"/>
        <v>E</v>
      </c>
      <c r="T21" s="1">
        <f t="shared" si="5"/>
        <v>0</v>
      </c>
      <c r="U21" s="1" t="str">
        <f t="shared" si="1"/>
        <v>B</v>
      </c>
      <c r="V21" s="1">
        <f t="shared" si="6"/>
        <v>0</v>
      </c>
      <c r="W21" s="181" t="str">
        <f t="shared" si="7"/>
        <v>M</v>
      </c>
      <c r="X21" s="5">
        <f t="shared" si="15"/>
        <v>1</v>
      </c>
      <c r="Y21" s="1">
        <f t="shared" si="16"/>
        <v>0</v>
      </c>
      <c r="Z21" s="1">
        <f t="shared" si="17"/>
        <v>1</v>
      </c>
      <c r="AA21" s="182">
        <f t="shared" si="18"/>
        <v>3</v>
      </c>
      <c r="AB21" s="5">
        <f t="shared" si="19"/>
        <v>5</v>
      </c>
      <c r="AC21" s="183" t="str">
        <f t="shared" si="20"/>
        <v>Extremo</v>
      </c>
    </row>
    <row r="22" spans="1:29" ht="43.5" customHeight="1" x14ac:dyDescent="0.25">
      <c r="A22" s="401" t="str">
        <f>+'PRIORIZACIÓN (2)'!B25</f>
        <v>Costeo de los proyectos y rentabilidad de la Empresa</v>
      </c>
      <c r="B22" s="191" t="str">
        <f>+IF('PRIORIZACIÓN (2)'!I25&gt;0%,"YA CUENTA CON PONDERACIÓN DE RIESGOS, NO DILIGENCIAR ANALISIS OCI", "DILIGENCIE ANALISIS OCI PARA ESTA UNIDAD AUDITABLE")</f>
        <v>YA CUENTA CON PONDERACIÓN DE RIESGOS, NO DILIGENCIAR ANALISIS OCI</v>
      </c>
      <c r="C22" s="184" t="s">
        <v>369</v>
      </c>
      <c r="D22" s="1"/>
      <c r="E22" s="1" t="s">
        <v>658</v>
      </c>
      <c r="F22" s="1"/>
      <c r="G22" s="185" t="s">
        <v>368</v>
      </c>
      <c r="H22" s="1"/>
      <c r="I22" s="185" t="s">
        <v>368</v>
      </c>
      <c r="J22" s="1"/>
      <c r="K22" s="1" t="s">
        <v>665</v>
      </c>
      <c r="L22" s="1"/>
      <c r="M22" s="1" t="s">
        <v>368</v>
      </c>
      <c r="N22" s="1"/>
      <c r="O22" s="1" t="s">
        <v>660</v>
      </c>
      <c r="P22" s="182" t="str">
        <f t="shared" si="14"/>
        <v>B</v>
      </c>
      <c r="Q22" s="1" t="str">
        <f t="shared" si="3"/>
        <v>E</v>
      </c>
      <c r="R22" s="1" t="str">
        <f t="shared" si="0"/>
        <v>B</v>
      </c>
      <c r="S22" s="1">
        <f t="shared" si="4"/>
        <v>0</v>
      </c>
      <c r="T22" s="1">
        <f t="shared" si="5"/>
        <v>0</v>
      </c>
      <c r="U22" s="1" t="str">
        <f t="shared" si="1"/>
        <v>B</v>
      </c>
      <c r="V22" s="1">
        <f t="shared" si="6"/>
        <v>0</v>
      </c>
      <c r="W22" s="181" t="str">
        <f t="shared" si="7"/>
        <v>B</v>
      </c>
      <c r="X22" s="5">
        <f t="shared" si="15"/>
        <v>1</v>
      </c>
      <c r="Y22" s="1">
        <f t="shared" si="16"/>
        <v>0</v>
      </c>
      <c r="Z22" s="1">
        <f t="shared" si="17"/>
        <v>0</v>
      </c>
      <c r="AA22" s="182">
        <f t="shared" si="18"/>
        <v>3</v>
      </c>
      <c r="AB22" s="5">
        <f t="shared" si="19"/>
        <v>4</v>
      </c>
      <c r="AC22" s="183" t="str">
        <f t="shared" si="20"/>
        <v>Extremo</v>
      </c>
    </row>
    <row r="23" spans="1:29" ht="30" x14ac:dyDescent="0.25">
      <c r="A23" s="401" t="str">
        <f>+'PRIORIZACIÓN (2)'!B26</f>
        <v>Seguimiento Resolución 1519 de 2021  y acceso a la Información</v>
      </c>
      <c r="B23" s="191" t="str">
        <f>+IF('PRIORIZACIÓN (2)'!I26&gt;0%,"YA CUENTA CON PONDERACIÓN DE RIESGOS, NO DILIGENCIAR ANALISIS OCI", "DILIGENCIE ANALISIS OCI PARA ESTA UNIDAD AUDITABLE")</f>
        <v>YA CUENTA CON PONDERACIÓN DE RIESGOS, NO DILIGENCIAR ANALISIS OCI</v>
      </c>
      <c r="C23" s="184" t="s">
        <v>366</v>
      </c>
      <c r="D23" s="1"/>
      <c r="E23" s="1" t="s">
        <v>658</v>
      </c>
      <c r="F23" s="1"/>
      <c r="G23" s="185" t="s">
        <v>369</v>
      </c>
      <c r="H23" s="1"/>
      <c r="I23" s="185" t="s">
        <v>367</v>
      </c>
      <c r="J23" s="1"/>
      <c r="K23" s="1" t="s">
        <v>662</v>
      </c>
      <c r="L23" s="1"/>
      <c r="M23" s="1" t="s">
        <v>368</v>
      </c>
      <c r="N23" s="1"/>
      <c r="O23" s="1" t="s">
        <v>660</v>
      </c>
      <c r="P23" s="182" t="str">
        <f t="shared" si="14"/>
        <v>B</v>
      </c>
      <c r="Q23" s="1" t="str">
        <f t="shared" si="3"/>
        <v>B</v>
      </c>
      <c r="R23" s="1" t="str">
        <f t="shared" si="0"/>
        <v>B</v>
      </c>
      <c r="S23" s="1" t="str">
        <f t="shared" si="4"/>
        <v>E</v>
      </c>
      <c r="T23" s="1" t="str">
        <f t="shared" si="5"/>
        <v>M</v>
      </c>
      <c r="U23" s="1" t="str">
        <f t="shared" si="1"/>
        <v>A</v>
      </c>
      <c r="V23" s="1">
        <f t="shared" si="6"/>
        <v>0</v>
      </c>
      <c r="W23" s="181" t="str">
        <f t="shared" si="7"/>
        <v>B</v>
      </c>
      <c r="X23" s="5">
        <f t="shared" si="15"/>
        <v>1</v>
      </c>
      <c r="Y23" s="1">
        <f t="shared" si="16"/>
        <v>1</v>
      </c>
      <c r="Z23" s="1">
        <f t="shared" si="17"/>
        <v>1</v>
      </c>
      <c r="AA23" s="182">
        <f t="shared" si="18"/>
        <v>3</v>
      </c>
      <c r="AB23" s="5">
        <f t="shared" si="19"/>
        <v>6</v>
      </c>
      <c r="AC23" s="183" t="str">
        <f t="shared" si="20"/>
        <v>Alto</v>
      </c>
    </row>
    <row r="24" spans="1:29" ht="42" customHeight="1" x14ac:dyDescent="0.25">
      <c r="A24" s="401" t="str">
        <f>+'PRIORIZACIÓN (2)'!B27</f>
        <v>Seguimiento Auditoria de Fiducias (Plan de Mejoramiento y Contratación por vencimiento de términos Fiducias actuales)</v>
      </c>
      <c r="B24" s="191" t="str">
        <f>+IF('PRIORIZACIÓN (2)'!I27&gt;0%,"YA CUENTA CON PONDERACIÓN DE RIESGOS, NO DILIGENCIAR ANALISIS OCI", "DILIGENCIE ANALISIS OCI PARA ESTA UNIDAD AUDITABLE")</f>
        <v>YA CUENTA CON PONDERACIÓN DE RIESGOS, NO DILIGENCIAR ANALISIS OCI</v>
      </c>
      <c r="C24" s="184" t="s">
        <v>366</v>
      </c>
      <c r="D24" s="1"/>
      <c r="E24" s="1" t="s">
        <v>658</v>
      </c>
      <c r="F24" s="1"/>
      <c r="G24" s="185" t="s">
        <v>369</v>
      </c>
      <c r="H24" s="1"/>
      <c r="I24" s="185" t="s">
        <v>367</v>
      </c>
      <c r="J24" s="1"/>
      <c r="K24" s="1" t="s">
        <v>662</v>
      </c>
      <c r="L24" s="1"/>
      <c r="M24" s="1" t="s">
        <v>368</v>
      </c>
      <c r="N24" s="1"/>
      <c r="O24" s="1" t="s">
        <v>660</v>
      </c>
      <c r="P24" s="182" t="str">
        <f t="shared" si="14"/>
        <v>B</v>
      </c>
      <c r="Q24" s="1" t="str">
        <f t="shared" si="3"/>
        <v>B</v>
      </c>
      <c r="R24" s="1" t="str">
        <f t="shared" si="0"/>
        <v>B</v>
      </c>
      <c r="S24" s="1" t="str">
        <f t="shared" si="4"/>
        <v>E</v>
      </c>
      <c r="T24" s="1" t="str">
        <f t="shared" si="5"/>
        <v>M</v>
      </c>
      <c r="U24" s="1" t="str">
        <f t="shared" si="1"/>
        <v>A</v>
      </c>
      <c r="V24" s="1">
        <f t="shared" si="6"/>
        <v>0</v>
      </c>
      <c r="W24" s="181" t="str">
        <f t="shared" si="7"/>
        <v>B</v>
      </c>
      <c r="X24" s="5">
        <f t="shared" ref="X24:X33" si="21">COUNTIFS(Q24:W24,"E")</f>
        <v>1</v>
      </c>
      <c r="Y24" s="1">
        <f t="shared" ref="Y24:Y33" si="22">COUNTIF(Q24:W24,"A")</f>
        <v>1</v>
      </c>
      <c r="Z24" s="1">
        <f t="shared" ref="Z24:Z33" si="23">COUNTIF(Q24:W24,"M")</f>
        <v>1</v>
      </c>
      <c r="AA24" s="182">
        <f t="shared" ref="AA24:AA33" si="24">COUNTIF(Q24:W24,"B")</f>
        <v>3</v>
      </c>
      <c r="AB24" s="5">
        <f t="shared" ref="AB24:AB33" si="25">SUM(X24:AA24)</f>
        <v>6</v>
      </c>
      <c r="AC24" s="183" t="str">
        <f t="shared" ref="AC24:AC33" si="26">+IF((X24/AB24)&gt;=0.2,"Extremo",+IF(((X24/AB24)+(Y24/AB24))&gt;=0.3,"Alto",+IF(((X24/AB24)+(Y24/AB24)+(Z24/AB24))&gt;=0.4,"Moderado",+IF((X24/AB24)+(Y24/AB24)+(Z24/AB24)+(AA24/AB24)&gt;=0.5,"Bajo",""))))</f>
        <v>Alto</v>
      </c>
    </row>
    <row r="25" spans="1:29" ht="45" x14ac:dyDescent="0.25">
      <c r="A25" s="401" t="str">
        <f>+'PRIORIZACIÓN (2)'!B28</f>
        <v>Seguimiento Comités Institucionales (Actividad pendiente de finalizar de la Vigencia 2021)</v>
      </c>
      <c r="B25" s="191" t="str">
        <f>+IF('PRIORIZACIÓN (2)'!I28&gt;0%,"YA CUENTA CON PONDERACIÓN DE RIESGOS, NO DILIGENCIAR ANALISIS OCI", "DILIGENCIE ANALISIS OCI PARA ESTA UNIDAD AUDITABLE")</f>
        <v>YA CUENTA CON PONDERACIÓN DE RIESGOS, NO DILIGENCIAR ANALISIS OCI</v>
      </c>
      <c r="C25" s="184" t="s">
        <v>366</v>
      </c>
      <c r="D25" s="1"/>
      <c r="E25" s="1" t="s">
        <v>658</v>
      </c>
      <c r="F25" s="1"/>
      <c r="G25" s="185" t="s">
        <v>369</v>
      </c>
      <c r="H25" s="1"/>
      <c r="I25" s="185" t="s">
        <v>366</v>
      </c>
      <c r="J25" s="1"/>
      <c r="K25" s="1" t="s">
        <v>662</v>
      </c>
      <c r="L25" s="1"/>
      <c r="M25" s="1" t="s">
        <v>368</v>
      </c>
      <c r="N25" s="1"/>
      <c r="O25" s="1" t="s">
        <v>660</v>
      </c>
      <c r="P25" s="182" t="str">
        <f t="shared" si="14"/>
        <v>B</v>
      </c>
      <c r="Q25" s="1" t="str">
        <f t="shared" si="3"/>
        <v>B</v>
      </c>
      <c r="R25" s="1" t="str">
        <f t="shared" si="0"/>
        <v>B</v>
      </c>
      <c r="S25" s="1" t="str">
        <f t="shared" si="4"/>
        <v>E</v>
      </c>
      <c r="T25" s="1" t="str">
        <f t="shared" si="5"/>
        <v>B</v>
      </c>
      <c r="U25" s="1" t="str">
        <f t="shared" si="1"/>
        <v>A</v>
      </c>
      <c r="V25" s="1">
        <f t="shared" si="6"/>
        <v>0</v>
      </c>
      <c r="W25" s="181" t="str">
        <f t="shared" si="7"/>
        <v>B</v>
      </c>
      <c r="X25" s="5">
        <f t="shared" si="21"/>
        <v>1</v>
      </c>
      <c r="Y25" s="1">
        <f t="shared" si="22"/>
        <v>1</v>
      </c>
      <c r="Z25" s="1">
        <f t="shared" si="23"/>
        <v>0</v>
      </c>
      <c r="AA25" s="182">
        <f t="shared" si="24"/>
        <v>4</v>
      </c>
      <c r="AB25" s="5">
        <f t="shared" si="25"/>
        <v>6</v>
      </c>
      <c r="AC25" s="183" t="str">
        <f t="shared" si="26"/>
        <v>Alto</v>
      </c>
    </row>
    <row r="26" spans="1:29" ht="42" customHeight="1" x14ac:dyDescent="0.25">
      <c r="A26" s="401" t="str">
        <f>+'PRIORIZACIÓN (2)'!B29</f>
        <v>Seguimiento Plan de Mejoramiento Archivística</v>
      </c>
      <c r="B26" s="191" t="str">
        <f>+IF('PRIORIZACIÓN (2)'!I29&gt;0%,"YA CUENTA CON PONDERACIÓN DE RIESGOS, NO DILIGENCIAR ANALISIS OCI", "DILIGENCIE ANALISIS OCI PARA ESTA UNIDAD AUDITABLE")</f>
        <v>YA CUENTA CON PONDERACIÓN DE RIESGOS, NO DILIGENCIAR ANALISIS OCI</v>
      </c>
      <c r="C26" s="184" t="s">
        <v>367</v>
      </c>
      <c r="D26" s="1"/>
      <c r="E26" s="1" t="s">
        <v>658</v>
      </c>
      <c r="F26" s="1"/>
      <c r="G26" s="185" t="s">
        <v>369</v>
      </c>
      <c r="H26" s="1"/>
      <c r="I26" s="185" t="s">
        <v>366</v>
      </c>
      <c r="J26" s="1"/>
      <c r="K26" s="1" t="s">
        <v>662</v>
      </c>
      <c r="L26" s="1"/>
      <c r="M26" s="1" t="s">
        <v>368</v>
      </c>
      <c r="N26" s="1"/>
      <c r="O26" s="1" t="s">
        <v>663</v>
      </c>
      <c r="P26" s="182" t="str">
        <f t="shared" si="14"/>
        <v>M</v>
      </c>
      <c r="Q26" s="1" t="str">
        <f t="shared" si="3"/>
        <v>M</v>
      </c>
      <c r="R26" s="1" t="str">
        <f t="shared" si="0"/>
        <v>B</v>
      </c>
      <c r="S26" s="1" t="str">
        <f t="shared" si="4"/>
        <v>E</v>
      </c>
      <c r="T26" s="1" t="str">
        <f t="shared" si="5"/>
        <v>B</v>
      </c>
      <c r="U26" s="1" t="str">
        <f t="shared" si="1"/>
        <v>A</v>
      </c>
      <c r="V26" s="1">
        <f t="shared" si="6"/>
        <v>0</v>
      </c>
      <c r="W26" s="181" t="str">
        <f t="shared" si="7"/>
        <v>M</v>
      </c>
      <c r="X26" s="5">
        <f t="shared" si="21"/>
        <v>1</v>
      </c>
      <c r="Y26" s="1">
        <f t="shared" si="22"/>
        <v>1</v>
      </c>
      <c r="Z26" s="1">
        <f t="shared" si="23"/>
        <v>2</v>
      </c>
      <c r="AA26" s="182">
        <f t="shared" si="24"/>
        <v>2</v>
      </c>
      <c r="AB26" s="5">
        <f t="shared" si="25"/>
        <v>6</v>
      </c>
      <c r="AC26" s="183" t="str">
        <f t="shared" si="26"/>
        <v>Alto</v>
      </c>
    </row>
    <row r="27" spans="1:29" ht="45" x14ac:dyDescent="0.25">
      <c r="A27" s="401" t="str">
        <f>+'PRIORIZACIÓN (2)'!B30</f>
        <v>Evaluación del Estatuto de Auditoria, Código de Ética del Auditor y Plan de Mejoramiento de las Auditorias Cruzadas</v>
      </c>
      <c r="B27" s="191" t="str">
        <f>+IF('PRIORIZACIÓN (2)'!I30&gt;0%,"YA CUENTA CON PONDERACIÓN DE RIESGOS, NO DILIGENCIAR ANALISIS OCI", "DILIGENCIE ANALISIS OCI PARA ESTA UNIDAD AUDITABLE")</f>
        <v>YA CUENTA CON PONDERACIÓN DE RIESGOS, NO DILIGENCIAR ANALISIS OCI</v>
      </c>
      <c r="C27" s="184" t="s">
        <v>366</v>
      </c>
      <c r="D27" s="1"/>
      <c r="E27" s="1" t="s">
        <v>658</v>
      </c>
      <c r="F27" s="1"/>
      <c r="G27" s="185" t="s">
        <v>369</v>
      </c>
      <c r="H27" s="1"/>
      <c r="I27" s="185" t="s">
        <v>366</v>
      </c>
      <c r="J27" s="1"/>
      <c r="K27" s="1" t="s">
        <v>662</v>
      </c>
      <c r="L27" s="1"/>
      <c r="M27" s="1" t="s">
        <v>368</v>
      </c>
      <c r="N27" s="1"/>
      <c r="O27" s="1" t="s">
        <v>663</v>
      </c>
      <c r="P27" s="182" t="str">
        <f t="shared" si="14"/>
        <v>M</v>
      </c>
      <c r="Q27" s="1" t="str">
        <f t="shared" si="3"/>
        <v>B</v>
      </c>
      <c r="R27" s="1" t="str">
        <f t="shared" si="0"/>
        <v>B</v>
      </c>
      <c r="S27" s="1" t="str">
        <f t="shared" si="4"/>
        <v>E</v>
      </c>
      <c r="T27" s="1" t="str">
        <f t="shared" si="5"/>
        <v>B</v>
      </c>
      <c r="U27" s="1" t="str">
        <f t="shared" si="1"/>
        <v>A</v>
      </c>
      <c r="V27" s="1">
        <f t="shared" si="6"/>
        <v>0</v>
      </c>
      <c r="W27" s="181" t="str">
        <f t="shared" si="7"/>
        <v>M</v>
      </c>
      <c r="X27" s="5">
        <f t="shared" si="21"/>
        <v>1</v>
      </c>
      <c r="Y27" s="1">
        <f t="shared" si="22"/>
        <v>1</v>
      </c>
      <c r="Z27" s="1">
        <f t="shared" si="23"/>
        <v>1</v>
      </c>
      <c r="AA27" s="182">
        <f t="shared" si="24"/>
        <v>3</v>
      </c>
      <c r="AB27" s="5">
        <f t="shared" si="25"/>
        <v>6</v>
      </c>
      <c r="AC27" s="183" t="str">
        <f t="shared" si="26"/>
        <v>Alto</v>
      </c>
    </row>
    <row r="28" spans="1:29" ht="45" x14ac:dyDescent="0.25">
      <c r="A28" s="401" t="str">
        <f>+'PRIORIZACIÓN (2)'!B31</f>
        <v>Factores de Gestión Prioritarias para la Empresa (análisis OCI) y Fortalecimiento Institucional</v>
      </c>
      <c r="B28" s="191" t="str">
        <f>+IF('PRIORIZACIÓN (2)'!I31&gt;0%,"YA CUENTA CON PONDERACIÓN DE RIESGOS, NO DILIGENCIAR ANALISIS OCI", "DILIGENCIE ANALISIS OCI PARA ESTA UNIDAD AUDITABLE")</f>
        <v>YA CUENTA CON PONDERACIÓN DE RIESGOS, NO DILIGENCIAR ANALISIS OCI</v>
      </c>
      <c r="C28" s="184" t="s">
        <v>366</v>
      </c>
      <c r="D28" s="1"/>
      <c r="E28" s="1" t="s">
        <v>658</v>
      </c>
      <c r="F28" s="1"/>
      <c r="G28" s="185" t="s">
        <v>368</v>
      </c>
      <c r="H28" s="1"/>
      <c r="I28" s="185" t="s">
        <v>368</v>
      </c>
      <c r="J28" s="1"/>
      <c r="K28" s="1" t="s">
        <v>662</v>
      </c>
      <c r="L28" s="1"/>
      <c r="M28" s="1" t="s">
        <v>367</v>
      </c>
      <c r="N28" s="1"/>
      <c r="O28" s="1" t="s">
        <v>663</v>
      </c>
      <c r="P28" s="182" t="str">
        <f t="shared" si="14"/>
        <v>M</v>
      </c>
      <c r="Q28" s="1" t="str">
        <f t="shared" si="3"/>
        <v>B</v>
      </c>
      <c r="R28" s="1" t="str">
        <f t="shared" si="0"/>
        <v>B</v>
      </c>
      <c r="S28" s="1">
        <f t="shared" si="4"/>
        <v>0</v>
      </c>
      <c r="T28" s="1">
        <f t="shared" si="5"/>
        <v>0</v>
      </c>
      <c r="U28" s="1" t="str">
        <f t="shared" si="1"/>
        <v>A</v>
      </c>
      <c r="V28" s="1" t="str">
        <f t="shared" si="6"/>
        <v>M</v>
      </c>
      <c r="W28" s="181" t="str">
        <f t="shared" si="7"/>
        <v>M</v>
      </c>
      <c r="X28" s="5">
        <f t="shared" si="21"/>
        <v>0</v>
      </c>
      <c r="Y28" s="1">
        <f t="shared" si="22"/>
        <v>1</v>
      </c>
      <c r="Z28" s="1">
        <f t="shared" si="23"/>
        <v>2</v>
      </c>
      <c r="AA28" s="182">
        <f t="shared" si="24"/>
        <v>2</v>
      </c>
      <c r="AB28" s="5">
        <f t="shared" si="25"/>
        <v>5</v>
      </c>
      <c r="AC28" s="183" t="str">
        <f t="shared" si="26"/>
        <v>Moderado</v>
      </c>
    </row>
    <row r="29" spans="1:29" ht="30" x14ac:dyDescent="0.25">
      <c r="A29" s="401" t="str">
        <f>+'PRIORIZACIÓN (2)'!B32</f>
        <v>Auditoria de Fiducias. Alcance por muestra confiable.</v>
      </c>
      <c r="B29" s="191" t="str">
        <f>+IF('PRIORIZACIÓN (2)'!I32&gt;0%,"YA CUENTA CON PONDERACIÓN DE RIESGOS, NO DILIGENCIAR ANALISIS OCI", "DILIGENCIE ANALISIS OCI PARA ESTA UNIDAD AUDITABLE")</f>
        <v>YA CUENTA CON PONDERACIÓN DE RIESGOS, NO DILIGENCIAR ANALISIS OCI</v>
      </c>
      <c r="C29" s="184" t="s">
        <v>368</v>
      </c>
      <c r="D29" s="1"/>
      <c r="E29" s="1" t="s">
        <v>658</v>
      </c>
      <c r="F29" s="1"/>
      <c r="G29" s="185" t="s">
        <v>368</v>
      </c>
      <c r="H29" s="1"/>
      <c r="I29" s="185" t="s">
        <v>368</v>
      </c>
      <c r="J29" s="1"/>
      <c r="K29" s="1" t="s">
        <v>662</v>
      </c>
      <c r="L29" s="1"/>
      <c r="M29" s="1" t="s">
        <v>368</v>
      </c>
      <c r="N29" s="1"/>
      <c r="O29" s="1" t="s">
        <v>663</v>
      </c>
      <c r="P29" s="182" t="str">
        <f t="shared" si="14"/>
        <v>M</v>
      </c>
      <c r="Q29" s="1">
        <f t="shared" si="3"/>
        <v>0</v>
      </c>
      <c r="R29" s="1" t="str">
        <f t="shared" si="0"/>
        <v>B</v>
      </c>
      <c r="S29" s="1">
        <f t="shared" si="4"/>
        <v>0</v>
      </c>
      <c r="T29" s="1">
        <f t="shared" si="5"/>
        <v>0</v>
      </c>
      <c r="U29" s="1" t="str">
        <f t="shared" si="1"/>
        <v>A</v>
      </c>
      <c r="V29" s="1">
        <f t="shared" si="6"/>
        <v>0</v>
      </c>
      <c r="W29" s="181" t="str">
        <f t="shared" si="7"/>
        <v>M</v>
      </c>
      <c r="X29" s="5">
        <f t="shared" si="21"/>
        <v>0</v>
      </c>
      <c r="Y29" s="1">
        <f t="shared" si="22"/>
        <v>1</v>
      </c>
      <c r="Z29" s="1">
        <f t="shared" si="23"/>
        <v>1</v>
      </c>
      <c r="AA29" s="182">
        <f t="shared" si="24"/>
        <v>1</v>
      </c>
      <c r="AB29" s="5">
        <f t="shared" si="25"/>
        <v>3</v>
      </c>
      <c r="AC29" s="183" t="str">
        <f t="shared" si="26"/>
        <v>Alto</v>
      </c>
    </row>
    <row r="30" spans="1:29" ht="30" x14ac:dyDescent="0.25">
      <c r="A30" s="401" t="str">
        <f>+'PRIORIZACIÓN (2)'!B33</f>
        <v>Auditoria Plan estratégico y gestión Tecnología y Comunicaciones</v>
      </c>
      <c r="B30" s="191" t="str">
        <f>+IF('PRIORIZACIÓN (2)'!I33&gt;0%,"YA CUENTA CON PONDERACIÓN DE RIESGOS, NO DILIGENCIAR ANALISIS OCI", "DILIGENCIE ANALISIS OCI PARA ESTA UNIDAD AUDITABLE")</f>
        <v>YA CUENTA CON PONDERACIÓN DE RIESGOS, NO DILIGENCIAR ANALISIS OCI</v>
      </c>
      <c r="C30" s="184" t="s">
        <v>366</v>
      </c>
      <c r="D30" s="1"/>
      <c r="E30" s="1" t="s">
        <v>661</v>
      </c>
      <c r="F30" s="1"/>
      <c r="G30" s="185" t="s">
        <v>368</v>
      </c>
      <c r="H30" s="1"/>
      <c r="I30" s="185" t="s">
        <v>366</v>
      </c>
      <c r="J30" s="1"/>
      <c r="K30" s="1" t="s">
        <v>662</v>
      </c>
      <c r="L30" s="1"/>
      <c r="M30" s="1" t="s">
        <v>367</v>
      </c>
      <c r="N30" s="1"/>
      <c r="O30" s="1" t="s">
        <v>663</v>
      </c>
      <c r="P30" s="182" t="str">
        <f t="shared" si="14"/>
        <v>M</v>
      </c>
      <c r="Q30" s="1" t="str">
        <f t="shared" si="3"/>
        <v>B</v>
      </c>
      <c r="R30" s="1" t="str">
        <f t="shared" si="0"/>
        <v>A</v>
      </c>
      <c r="S30" s="1">
        <f t="shared" si="4"/>
        <v>0</v>
      </c>
      <c r="T30" s="1" t="str">
        <f t="shared" si="5"/>
        <v>B</v>
      </c>
      <c r="U30" s="1" t="str">
        <f t="shared" si="1"/>
        <v>A</v>
      </c>
      <c r="V30" s="1" t="str">
        <f t="shared" si="6"/>
        <v>M</v>
      </c>
      <c r="W30" s="181" t="str">
        <f t="shared" si="7"/>
        <v>M</v>
      </c>
      <c r="X30" s="5">
        <f t="shared" si="21"/>
        <v>0</v>
      </c>
      <c r="Y30" s="1">
        <f t="shared" si="22"/>
        <v>2</v>
      </c>
      <c r="Z30" s="1">
        <f t="shared" si="23"/>
        <v>2</v>
      </c>
      <c r="AA30" s="182">
        <f t="shared" si="24"/>
        <v>2</v>
      </c>
      <c r="AB30" s="5">
        <f t="shared" si="25"/>
        <v>6</v>
      </c>
      <c r="AC30" s="183" t="str">
        <f t="shared" si="26"/>
        <v>Alto</v>
      </c>
    </row>
    <row r="31" spans="1:29" ht="60" x14ac:dyDescent="0.25">
      <c r="A31" s="401" t="str">
        <f>+'PRIORIZACIÓN (2)'!B34</f>
        <v>Proyecto: Formulación, Gestión y Estructuración de Proyectos de Desarrollo, Revitalización o Renovación Urbana. Incluido aspecto contractual</v>
      </c>
      <c r="B31" s="191" t="str">
        <f>+IF('PRIORIZACIÓN (2)'!I34&gt;0%,"YA CUENTA CON PONDERACIÓN DE RIESGOS, NO DILIGENCIAR ANALISIS OCI", "DILIGENCIE ANALISIS OCI PARA ESTA UNIDAD AUDITABLE")</f>
        <v>YA CUENTA CON PONDERACIÓN DE RIESGOS, NO DILIGENCIAR ANALISIS OCI</v>
      </c>
      <c r="C31" s="184" t="s">
        <v>368</v>
      </c>
      <c r="D31" s="1"/>
      <c r="E31" s="1" t="s">
        <v>658</v>
      </c>
      <c r="F31" s="1"/>
      <c r="G31" s="185" t="s">
        <v>366</v>
      </c>
      <c r="H31" s="1"/>
      <c r="I31" s="185" t="s">
        <v>366</v>
      </c>
      <c r="J31" s="1"/>
      <c r="K31" s="1" t="s">
        <v>662</v>
      </c>
      <c r="L31" s="1"/>
      <c r="M31" s="1" t="s">
        <v>368</v>
      </c>
      <c r="N31" s="1"/>
      <c r="O31" s="1" t="s">
        <v>663</v>
      </c>
      <c r="P31" s="182" t="str">
        <f t="shared" si="14"/>
        <v>M</v>
      </c>
      <c r="Q31" s="1">
        <f t="shared" si="3"/>
        <v>0</v>
      </c>
      <c r="R31" s="1" t="str">
        <f t="shared" si="0"/>
        <v>B</v>
      </c>
      <c r="S31" s="1" t="str">
        <f t="shared" si="4"/>
        <v>B</v>
      </c>
      <c r="T31" s="1" t="str">
        <f t="shared" si="5"/>
        <v>B</v>
      </c>
      <c r="U31" s="1" t="str">
        <f t="shared" si="1"/>
        <v>A</v>
      </c>
      <c r="V31" s="1">
        <f t="shared" si="6"/>
        <v>0</v>
      </c>
      <c r="W31" s="181" t="str">
        <f t="shared" si="7"/>
        <v>M</v>
      </c>
      <c r="X31" s="5">
        <f t="shared" si="21"/>
        <v>0</v>
      </c>
      <c r="Y31" s="1">
        <f t="shared" si="22"/>
        <v>1</v>
      </c>
      <c r="Z31" s="1">
        <f t="shared" si="23"/>
        <v>1</v>
      </c>
      <c r="AA31" s="182">
        <f t="shared" si="24"/>
        <v>3</v>
      </c>
      <c r="AB31" s="5">
        <f t="shared" si="25"/>
        <v>5</v>
      </c>
      <c r="AC31" s="183" t="str">
        <f t="shared" si="26"/>
        <v>Moderado</v>
      </c>
    </row>
    <row r="32" spans="1:29" ht="30" x14ac:dyDescent="0.25">
      <c r="A32" s="401" t="str">
        <f>+'PRIORIZACIÓN (2)'!B35</f>
        <v>Auditoria Gestión Social asociada a la Adquisición Predial y grupos de interés</v>
      </c>
      <c r="B32" s="191" t="str">
        <f>+IF('PRIORIZACIÓN (2)'!I35&gt;0%,"YA CUENTA CON PONDERACIÓN DE RIESGOS, NO DILIGENCIAR ANALISIS OCI", "DILIGENCIE ANALISIS OCI PARA ESTA UNIDAD AUDITABLE")</f>
        <v>YA CUENTA CON PONDERACIÓN DE RIESGOS, NO DILIGENCIAR ANALISIS OCI</v>
      </c>
      <c r="C32" s="184" t="s">
        <v>366</v>
      </c>
      <c r="D32" s="1" t="str">
        <f t="shared" ref="D32" si="27">IF($C32="EXTREMA","E",IF($C32="ALTA","A",IF($C32="MEDIA","M",IF($C32="BAJA","B",0))))</f>
        <v>B</v>
      </c>
      <c r="E32" s="1" t="s">
        <v>658</v>
      </c>
      <c r="F32" s="1" t="str">
        <f t="shared" ref="F32" si="28">IF($E32="3 días","E",IF($E32="2 días","A",IF($E32="1 días","M",IF($E32="Varias horas","B",0))))</f>
        <v>B</v>
      </c>
      <c r="G32" s="185" t="s">
        <v>368</v>
      </c>
      <c r="H32" s="1">
        <f t="shared" ref="H32" si="29">IF($G32="EXTREMA","E",IF($G32="ALTA","A",IF($G32="MEDIA","M",IF($G32="BAJA","B",0))))</f>
        <v>0</v>
      </c>
      <c r="I32" s="185" t="s">
        <v>368</v>
      </c>
      <c r="J32" s="1">
        <f t="shared" ref="J32" si="30">IF($I32="EXTREMA","E",IF($I32="ALTA","A",IF($I32="MEDIA","M",IF($I32="BAJA","B",0))))</f>
        <v>0</v>
      </c>
      <c r="K32" s="1" t="s">
        <v>664</v>
      </c>
      <c r="L32" s="1" t="str">
        <f t="shared" ref="L32" si="31">IF($K32="Hechos de Corrupción","E",IF($K32="Incumplimiento de servicios","A",IF($K32="Retrasos en los servicios","M",IF($K32="Quejas por incumplimientos o retrasos","B",0))))</f>
        <v>M</v>
      </c>
      <c r="M32" s="1" t="s">
        <v>367</v>
      </c>
      <c r="N32" s="1" t="str">
        <f t="shared" ref="N32" si="32">IF($M32="EXTREMA","E",IF($M32="ALTA","A",IF($M32="MEDIA","M",IF($M32="BAJA","B",0))))</f>
        <v>M</v>
      </c>
      <c r="O32" s="1" t="s">
        <v>666</v>
      </c>
      <c r="P32" s="182" t="str">
        <f t="shared" si="14"/>
        <v>A</v>
      </c>
      <c r="Q32" s="1" t="str">
        <f t="shared" si="3"/>
        <v>B</v>
      </c>
      <c r="R32" s="1" t="str">
        <f t="shared" si="0"/>
        <v>B</v>
      </c>
      <c r="S32" s="1">
        <f t="shared" si="4"/>
        <v>0</v>
      </c>
      <c r="T32" s="1">
        <f t="shared" si="5"/>
        <v>0</v>
      </c>
      <c r="U32" s="1" t="str">
        <f t="shared" si="1"/>
        <v>M</v>
      </c>
      <c r="V32" s="1" t="str">
        <f t="shared" si="6"/>
        <v>M</v>
      </c>
      <c r="W32" s="181" t="str">
        <f t="shared" si="7"/>
        <v>A</v>
      </c>
      <c r="X32" s="5">
        <f t="shared" si="21"/>
        <v>0</v>
      </c>
      <c r="Y32" s="1">
        <f t="shared" si="22"/>
        <v>1</v>
      </c>
      <c r="Z32" s="1">
        <f t="shared" si="23"/>
        <v>2</v>
      </c>
      <c r="AA32" s="182">
        <f t="shared" si="24"/>
        <v>2</v>
      </c>
      <c r="AB32" s="5">
        <f t="shared" si="25"/>
        <v>5</v>
      </c>
      <c r="AC32" s="183" t="str">
        <f t="shared" si="26"/>
        <v>Moderado</v>
      </c>
    </row>
    <row r="33" spans="1:29" ht="60" x14ac:dyDescent="0.25">
      <c r="A33" s="401" t="str">
        <f>+'PRIORIZACIÓN (2)'!B36</f>
        <v>Auditoria Proceso Evaluación y seguimiento - Normas Internacionales de Auditoria - Oficina PAD
Auditorias cruzadas OCI - Alcaldia.</v>
      </c>
      <c r="B33" s="191" t="str">
        <f>+IF('PRIORIZACIÓN (2)'!I36&gt;0%,"YA CUENTA CON PONDERACIÓN DE RIESGOS, NO DILIGENCIAR ANALISIS OCI", "DILIGENCIE ANALISIS OCI PARA ESTA UNIDAD AUDITABLE")</f>
        <v>YA CUENTA CON PONDERACIÓN DE RIESGOS, NO DILIGENCIAR ANALISIS OCI</v>
      </c>
      <c r="C33" s="184" t="s">
        <v>366</v>
      </c>
      <c r="D33" s="1"/>
      <c r="E33" s="1" t="s">
        <v>658</v>
      </c>
      <c r="F33" s="1"/>
      <c r="G33" s="185" t="s">
        <v>368</v>
      </c>
      <c r="H33" s="1"/>
      <c r="I33" s="185" t="s">
        <v>368</v>
      </c>
      <c r="J33" s="1"/>
      <c r="K33" s="1" t="s">
        <v>664</v>
      </c>
      <c r="L33" s="1"/>
      <c r="M33" s="1" t="s">
        <v>368</v>
      </c>
      <c r="N33" s="1"/>
      <c r="O33" s="1" t="s">
        <v>663</v>
      </c>
      <c r="P33" s="182" t="str">
        <f t="shared" si="14"/>
        <v>M</v>
      </c>
      <c r="Q33" s="1" t="str">
        <f t="shared" si="3"/>
        <v>B</v>
      </c>
      <c r="R33" s="1" t="str">
        <f t="shared" si="0"/>
        <v>B</v>
      </c>
      <c r="S33" s="1">
        <f t="shared" si="4"/>
        <v>0</v>
      </c>
      <c r="T33" s="1">
        <f t="shared" si="5"/>
        <v>0</v>
      </c>
      <c r="U33" s="1" t="str">
        <f t="shared" si="1"/>
        <v>M</v>
      </c>
      <c r="V33" s="1">
        <f t="shared" si="6"/>
        <v>0</v>
      </c>
      <c r="W33" s="181" t="str">
        <f t="shared" si="7"/>
        <v>M</v>
      </c>
      <c r="X33" s="5">
        <f t="shared" si="21"/>
        <v>0</v>
      </c>
      <c r="Y33" s="1">
        <f t="shared" si="22"/>
        <v>0</v>
      </c>
      <c r="Z33" s="1">
        <f t="shared" si="23"/>
        <v>2</v>
      </c>
      <c r="AA33" s="182">
        <f t="shared" si="24"/>
        <v>2</v>
      </c>
      <c r="AB33" s="5">
        <f t="shared" si="25"/>
        <v>4</v>
      </c>
      <c r="AC33" s="183" t="str">
        <f t="shared" si="26"/>
        <v>Moderado</v>
      </c>
    </row>
    <row r="34" spans="1:29" ht="30" x14ac:dyDescent="0.25">
      <c r="A34" s="401" t="str">
        <f>+'PRIORIZACIÓN (2)'!B37</f>
        <v>Unidad Auditable 24</v>
      </c>
      <c r="B34" s="191" t="str">
        <f>+IF('PRIORIZACIÓN (2)'!I37&gt;0%,"YA CUENTA CON PONDERACIÓN DE RIESGOS, NO DILIGENCIAR ANALISIS OCI", "DILIGENCIE ANALISIS OCI PARA ESTA UNIDAD AUDITABLE")</f>
        <v>DILIGENCIE ANALISIS OCI PARA ESTA UNIDAD AUDITABLE</v>
      </c>
      <c r="C34" s="184"/>
      <c r="D34" s="1">
        <f t="shared" ref="D34:D73" si="33">IF($C34="EXTREMA","E",IF($C34="ALTA","A",IF($C34="MEDIA","M",IF($C34="BAJA","B",0))))</f>
        <v>0</v>
      </c>
      <c r="E34" s="1"/>
      <c r="F34" s="1">
        <f t="shared" ref="F34:F35" si="34">IF($E34="3 días","E",IF($E34="2 días","A",IF($E34="1 días","M",IF($E34="Varias horas","B",0))))</f>
        <v>0</v>
      </c>
      <c r="G34" s="185"/>
      <c r="H34" s="1">
        <f t="shared" ref="H34:H73" si="35">IF($G34="EXTREMA","E",IF($G34="ALTA","A",IF($G34="MEDIA","M",IF($G34="BAJA","B",0))))</f>
        <v>0</v>
      </c>
      <c r="I34" s="185"/>
      <c r="J34" s="1">
        <f t="shared" ref="J34:J73" si="36">IF($I34="EXTREMA","E",IF($I34="ALTA","A",IF($I34="MEDIA","M",IF($I34="BAJA","B",0))))</f>
        <v>0</v>
      </c>
      <c r="K34" s="1"/>
      <c r="L34" s="1">
        <f t="shared" ref="L34:L35" si="37">IF($K34="Hechos de Corrupción","E",IF($K34="Incumplimiento de servicios","A",IF($K34="Retrasos en los servicios","M",IF($K34="Quejas por incumplimientos o retrasos","B",0))))</f>
        <v>0</v>
      </c>
      <c r="M34" s="1"/>
      <c r="N34" s="1">
        <f t="shared" ref="N34:N73" si="38">IF($M34="EXTREMA","E",IF($M34="ALTA","A",IF($M34="MEDIA","M",IF($M34="BAJA","B",0))))</f>
        <v>0</v>
      </c>
      <c r="O34" s="1"/>
      <c r="P34" s="182">
        <f t="shared" si="14"/>
        <v>0</v>
      </c>
      <c r="Q34" s="1">
        <f t="shared" si="3"/>
        <v>0</v>
      </c>
      <c r="R34" s="1">
        <f t="shared" si="0"/>
        <v>0</v>
      </c>
      <c r="S34" s="1">
        <f t="shared" si="4"/>
        <v>0</v>
      </c>
      <c r="T34" s="1">
        <f t="shared" si="5"/>
        <v>0</v>
      </c>
      <c r="U34" s="1">
        <f t="shared" si="1"/>
        <v>0</v>
      </c>
      <c r="V34" s="1">
        <f t="shared" si="6"/>
        <v>0</v>
      </c>
      <c r="W34" s="181">
        <f t="shared" si="7"/>
        <v>0</v>
      </c>
      <c r="X34" s="5">
        <f>COUNTIFS(Q34:W34,"E")</f>
        <v>0</v>
      </c>
      <c r="Y34" s="1">
        <f>COUNTIF(Q34:W34,"A")</f>
        <v>0</v>
      </c>
      <c r="Z34" s="1">
        <f>COUNTIF(Q34:W34,"M")</f>
        <v>0</v>
      </c>
      <c r="AA34" s="182">
        <f>COUNTIF(Q34:W34,"B")</f>
        <v>0</v>
      </c>
      <c r="AB34" s="5">
        <f>SUM(X34:AA34)</f>
        <v>0</v>
      </c>
      <c r="AC34" s="183" t="e">
        <f>+IF((X34/AB34)&gt;=0.2,"Extremo",+IF(((X34/AB34)+(Y34/AB34))&gt;=0.3,"Alto",+IF(((X34/AB34)+(Y34/AB34)+(Z34/AB34))&gt;=0.4,"Moderado",+IF((X34/AB34)+(Y34/AB34)+(Z34/AB34)+(AA34/AB34)&gt;=0.5,"Bajo",""))))</f>
        <v>#DIV/0!</v>
      </c>
    </row>
    <row r="35" spans="1:29" ht="30" x14ac:dyDescent="0.25">
      <c r="A35" s="401" t="str">
        <f>+'PRIORIZACIÓN (2)'!B38</f>
        <v>Unidad Auditable 25</v>
      </c>
      <c r="B35" s="191" t="str">
        <f>+IF('PRIORIZACIÓN (2)'!I38&gt;0%,"YA CUENTA CON PONDERACIÓN DE RIESGOS, NO DILIGENCIAR ANALISIS OCI", "DILIGENCIE ANALISIS OCI PARA ESTA UNIDAD AUDITABLE")</f>
        <v>DILIGENCIE ANALISIS OCI PARA ESTA UNIDAD AUDITABLE</v>
      </c>
      <c r="C35" s="184"/>
      <c r="D35" s="1">
        <f t="shared" si="33"/>
        <v>0</v>
      </c>
      <c r="E35" s="1"/>
      <c r="F35" s="1">
        <f t="shared" si="34"/>
        <v>0</v>
      </c>
      <c r="G35" s="185"/>
      <c r="H35" s="1">
        <f t="shared" si="35"/>
        <v>0</v>
      </c>
      <c r="I35" s="185"/>
      <c r="J35" s="1">
        <f t="shared" si="36"/>
        <v>0</v>
      </c>
      <c r="K35" s="1"/>
      <c r="L35" s="1">
        <f t="shared" si="37"/>
        <v>0</v>
      </c>
      <c r="M35" s="1"/>
      <c r="N35" s="1">
        <f t="shared" si="38"/>
        <v>0</v>
      </c>
      <c r="O35" s="1"/>
      <c r="P35" s="182">
        <f t="shared" si="14"/>
        <v>0</v>
      </c>
      <c r="Q35" s="1">
        <f t="shared" si="3"/>
        <v>0</v>
      </c>
      <c r="R35" s="1">
        <f t="shared" si="0"/>
        <v>0</v>
      </c>
      <c r="S35" s="1">
        <f t="shared" si="4"/>
        <v>0</v>
      </c>
      <c r="T35" s="1">
        <f t="shared" si="5"/>
        <v>0</v>
      </c>
      <c r="U35" s="1">
        <f t="shared" si="1"/>
        <v>0</v>
      </c>
      <c r="V35" s="1">
        <f t="shared" si="6"/>
        <v>0</v>
      </c>
      <c r="W35" s="181">
        <f t="shared" si="7"/>
        <v>0</v>
      </c>
      <c r="X35" s="5">
        <f>COUNTIFS(Q35:W35,"E")</f>
        <v>0</v>
      </c>
      <c r="Y35" s="1">
        <f>COUNTIF(Q35:W35,"A")</f>
        <v>0</v>
      </c>
      <c r="Z35" s="1">
        <f>COUNTIF(Q35:W35,"M")</f>
        <v>0</v>
      </c>
      <c r="AA35" s="182">
        <f>COUNTIF(Q35:W35,"B")</f>
        <v>0</v>
      </c>
      <c r="AB35" s="5">
        <f>SUM(X35:AA35)</f>
        <v>0</v>
      </c>
      <c r="AC35" s="183" t="e">
        <f>+IF((X35/AB35)&gt;=0.2,"Extremo",+IF(((X35/AB35)+(Y35/AB35))&gt;=0.3,"Alto",+IF(((X35/AB35)+(Y35/AB35)+(Z35/AB35))&gt;=0.4,"Moderado",+IF((X35/AB35)+(Y35/AB35)+(Z35/AB35)+(AA35/AB35)&gt;=0.5,"Bajo",""))))</f>
        <v>#DIV/0!</v>
      </c>
    </row>
    <row r="36" spans="1:29" ht="30" x14ac:dyDescent="0.25">
      <c r="A36" s="401" t="str">
        <f>+'PRIORIZACIÓN (2)'!B39</f>
        <v>Unidad Auditable 26</v>
      </c>
      <c r="B36" s="191" t="str">
        <f>+IF('PRIORIZACIÓN (2)'!I39&gt;0%,"YA CUENTA CON PONDERACIÓN DE RIESGOS, NO DILIGENCIAR ANALISIS OCI", "DILIGENCIE ANALISIS OCI PARA ESTA UNIDAD AUDITABLE")</f>
        <v>DILIGENCIE ANALISIS OCI PARA ESTA UNIDAD AUDITABLE</v>
      </c>
      <c r="C36" s="184"/>
      <c r="D36" s="1">
        <f t="shared" si="33"/>
        <v>0</v>
      </c>
      <c r="E36" s="1"/>
      <c r="F36" s="1">
        <f t="shared" ref="F36:F88" si="39">IF($E36="3 días","E",IF($E36="2 días","A",IF($E36="1 días","M",IF($E36="Varias horas","B",0))))</f>
        <v>0</v>
      </c>
      <c r="G36" s="185"/>
      <c r="H36" s="1">
        <f t="shared" si="35"/>
        <v>0</v>
      </c>
      <c r="I36" s="185"/>
      <c r="J36" s="1">
        <f t="shared" si="36"/>
        <v>0</v>
      </c>
      <c r="K36" s="1"/>
      <c r="L36" s="1">
        <f t="shared" ref="L36:L88" si="40">IF($K36="Hechos de Corrupción","E",IF($K36="Incumplimiento de servicios","A",IF($K36="Retrasos en los servicios","M",IF($K36="Quejas por incumplimientos o retrasos","B",0))))</f>
        <v>0</v>
      </c>
      <c r="M36" s="1"/>
      <c r="N36" s="1">
        <f t="shared" si="38"/>
        <v>0</v>
      </c>
      <c r="O36" s="1"/>
      <c r="P36" s="182">
        <f t="shared" ref="P36:P88" si="41">IF($O36="Critica no recuperable","E",IF($O36="Critica con recuperación parcial","A",IF($O36="Falta de oportunidad para atención usuarios","M",IF($O36="Falta de oportunidad para gestión de los procesos","B",0))))</f>
        <v>0</v>
      </c>
      <c r="Q36" s="1">
        <f t="shared" si="3"/>
        <v>0</v>
      </c>
      <c r="R36" s="1">
        <f t="shared" si="0"/>
        <v>0</v>
      </c>
      <c r="S36" s="1">
        <f t="shared" si="4"/>
        <v>0</v>
      </c>
      <c r="T36" s="1">
        <f t="shared" si="5"/>
        <v>0</v>
      </c>
      <c r="U36" s="1">
        <f t="shared" si="1"/>
        <v>0</v>
      </c>
      <c r="V36" s="1">
        <f t="shared" si="6"/>
        <v>0</v>
      </c>
      <c r="W36" s="181">
        <f t="shared" si="7"/>
        <v>0</v>
      </c>
      <c r="X36" s="5">
        <f t="shared" ref="X36:X43" si="42">COUNTIFS(Q36:W36,"E")</f>
        <v>0</v>
      </c>
      <c r="Y36" s="1">
        <f t="shared" ref="Y36:Y43" si="43">COUNTIF(Q36:W36,"A")</f>
        <v>0</v>
      </c>
      <c r="Z36" s="1">
        <f t="shared" ref="Z36:Z43" si="44">COUNTIF(Q36:W36,"M")</f>
        <v>0</v>
      </c>
      <c r="AA36" s="182">
        <f t="shared" ref="AA36:AA43" si="45">COUNTIF(Q36:W36,"B")</f>
        <v>0</v>
      </c>
      <c r="AB36" s="5">
        <f t="shared" ref="AB36:AB43" si="46">SUM(X36:AA36)</f>
        <v>0</v>
      </c>
      <c r="AC36" s="183" t="e">
        <f t="shared" ref="AC36:AC43" si="47">+IF((X36/AB36)&gt;=0.2,"Extremo",+IF(((X36/AB36)+(Y36/AB36))&gt;=0.3,"Alto",+IF(((X36/AB36)+(Y36/AB36)+(Z36/AB36))&gt;=0.4,"Moderado",+IF((X36/AB36)+(Y36/AB36)+(Z36/AB36)+(AA36/AB36)&gt;=0.5,"Bajo",""))))</f>
        <v>#DIV/0!</v>
      </c>
    </row>
    <row r="37" spans="1:29" ht="30" x14ac:dyDescent="0.25">
      <c r="A37" s="180" t="str">
        <f>+'PRIORIZACIÓN (2)'!B40</f>
        <v>Unidad Auditable 27</v>
      </c>
      <c r="B37" s="191" t="str">
        <f>+IF('PRIORIZACIÓN (2)'!I40&gt;0%,"YA CUENTA CON PONDERACIÓN DE RIESGOS, NO DILIGENCIAR ANALISIS OCI", "DILIGENCIE ANALISIS OCI PARA ESTA UNIDAD AUDITABLE")</f>
        <v>DILIGENCIE ANALISIS OCI PARA ESTA UNIDAD AUDITABLE</v>
      </c>
      <c r="C37" s="184"/>
      <c r="D37" s="1">
        <f t="shared" si="33"/>
        <v>0</v>
      </c>
      <c r="E37" s="1"/>
      <c r="F37" s="1">
        <f t="shared" si="39"/>
        <v>0</v>
      </c>
      <c r="G37" s="185"/>
      <c r="H37" s="1">
        <f t="shared" si="35"/>
        <v>0</v>
      </c>
      <c r="I37" s="185"/>
      <c r="J37" s="1">
        <f t="shared" si="36"/>
        <v>0</v>
      </c>
      <c r="K37" s="1"/>
      <c r="L37" s="1">
        <f t="shared" si="40"/>
        <v>0</v>
      </c>
      <c r="M37" s="1"/>
      <c r="N37" s="1">
        <f t="shared" si="38"/>
        <v>0</v>
      </c>
      <c r="O37" s="1"/>
      <c r="P37" s="182">
        <f t="shared" si="41"/>
        <v>0</v>
      </c>
      <c r="Q37" s="1">
        <f t="shared" si="3"/>
        <v>0</v>
      </c>
      <c r="R37" s="1">
        <f t="shared" si="0"/>
        <v>0</v>
      </c>
      <c r="S37" s="1">
        <f t="shared" si="4"/>
        <v>0</v>
      </c>
      <c r="T37" s="1">
        <f t="shared" si="5"/>
        <v>0</v>
      </c>
      <c r="U37" s="1">
        <f t="shared" si="1"/>
        <v>0</v>
      </c>
      <c r="V37" s="1">
        <f t="shared" si="6"/>
        <v>0</v>
      </c>
      <c r="W37" s="181">
        <f t="shared" si="7"/>
        <v>0</v>
      </c>
      <c r="X37" s="5">
        <f t="shared" si="42"/>
        <v>0</v>
      </c>
      <c r="Y37" s="1">
        <f t="shared" si="43"/>
        <v>0</v>
      </c>
      <c r="Z37" s="1">
        <f t="shared" si="44"/>
        <v>0</v>
      </c>
      <c r="AA37" s="182">
        <f t="shared" si="45"/>
        <v>0</v>
      </c>
      <c r="AB37" s="5">
        <f t="shared" si="46"/>
        <v>0</v>
      </c>
      <c r="AC37" s="183" t="e">
        <f t="shared" si="47"/>
        <v>#DIV/0!</v>
      </c>
    </row>
    <row r="38" spans="1:29" ht="30" x14ac:dyDescent="0.25">
      <c r="A38" s="180" t="str">
        <f>+'PRIORIZACIÓN (2)'!B41</f>
        <v>Unidad Auditable 28</v>
      </c>
      <c r="B38" s="191" t="str">
        <f>+IF('PRIORIZACIÓN (2)'!I41&gt;0%,"YA CUENTA CON PONDERACIÓN DE RIESGOS, NO DILIGENCIAR ANALISIS OCI", "DILIGENCIE ANALISIS OCI PARA ESTA UNIDAD AUDITABLE")</f>
        <v>DILIGENCIE ANALISIS OCI PARA ESTA UNIDAD AUDITABLE</v>
      </c>
      <c r="C38" s="184"/>
      <c r="D38" s="1">
        <f t="shared" si="33"/>
        <v>0</v>
      </c>
      <c r="E38" s="1"/>
      <c r="F38" s="1">
        <f t="shared" si="39"/>
        <v>0</v>
      </c>
      <c r="G38" s="185"/>
      <c r="H38" s="1">
        <f t="shared" si="35"/>
        <v>0</v>
      </c>
      <c r="I38" s="185"/>
      <c r="J38" s="1">
        <f t="shared" si="36"/>
        <v>0</v>
      </c>
      <c r="K38" s="1"/>
      <c r="L38" s="1">
        <f t="shared" si="40"/>
        <v>0</v>
      </c>
      <c r="M38" s="1"/>
      <c r="N38" s="1">
        <f t="shared" si="38"/>
        <v>0</v>
      </c>
      <c r="O38" s="1"/>
      <c r="P38" s="182">
        <f t="shared" si="41"/>
        <v>0</v>
      </c>
      <c r="Q38" s="1">
        <f t="shared" si="3"/>
        <v>0</v>
      </c>
      <c r="R38" s="1">
        <f t="shared" si="0"/>
        <v>0</v>
      </c>
      <c r="S38" s="1">
        <f t="shared" si="4"/>
        <v>0</v>
      </c>
      <c r="T38" s="1">
        <f t="shared" si="5"/>
        <v>0</v>
      </c>
      <c r="U38" s="1">
        <f t="shared" si="1"/>
        <v>0</v>
      </c>
      <c r="V38" s="1">
        <f t="shared" si="6"/>
        <v>0</v>
      </c>
      <c r="W38" s="181">
        <f t="shared" si="7"/>
        <v>0</v>
      </c>
      <c r="X38" s="5">
        <f t="shared" si="42"/>
        <v>0</v>
      </c>
      <c r="Y38" s="1">
        <f t="shared" si="43"/>
        <v>0</v>
      </c>
      <c r="Z38" s="1">
        <f t="shared" si="44"/>
        <v>0</v>
      </c>
      <c r="AA38" s="182">
        <f t="shared" si="45"/>
        <v>0</v>
      </c>
      <c r="AB38" s="5">
        <f t="shared" si="46"/>
        <v>0</v>
      </c>
      <c r="AC38" s="183" t="e">
        <f t="shared" si="47"/>
        <v>#DIV/0!</v>
      </c>
    </row>
    <row r="39" spans="1:29" ht="30" x14ac:dyDescent="0.25">
      <c r="A39" s="180" t="str">
        <f>+'PRIORIZACIÓN (2)'!B42</f>
        <v>Unidad Auditable 29</v>
      </c>
      <c r="B39" s="191" t="str">
        <f>+IF('PRIORIZACIÓN (2)'!I42&gt;0%,"YA CUENTA CON PONDERACIÓN DE RIESGOS, NO DILIGENCIAR ANALISIS OCI", "DILIGENCIE ANALISIS OCI PARA ESTA UNIDAD AUDITABLE")</f>
        <v>DILIGENCIE ANALISIS OCI PARA ESTA UNIDAD AUDITABLE</v>
      </c>
      <c r="C39" s="184"/>
      <c r="D39" s="1">
        <f t="shared" si="33"/>
        <v>0</v>
      </c>
      <c r="E39" s="1"/>
      <c r="F39" s="1">
        <f t="shared" si="39"/>
        <v>0</v>
      </c>
      <c r="G39" s="185"/>
      <c r="H39" s="1">
        <f t="shared" si="35"/>
        <v>0</v>
      </c>
      <c r="I39" s="185"/>
      <c r="J39" s="1">
        <f t="shared" si="36"/>
        <v>0</v>
      </c>
      <c r="K39" s="1"/>
      <c r="L39" s="1">
        <f t="shared" si="40"/>
        <v>0</v>
      </c>
      <c r="M39" s="1"/>
      <c r="N39" s="1">
        <f t="shared" si="38"/>
        <v>0</v>
      </c>
      <c r="O39" s="1"/>
      <c r="P39" s="182">
        <f t="shared" si="41"/>
        <v>0</v>
      </c>
      <c r="Q39" s="1">
        <f t="shared" si="3"/>
        <v>0</v>
      </c>
      <c r="R39" s="1">
        <f t="shared" si="0"/>
        <v>0</v>
      </c>
      <c r="S39" s="1">
        <f t="shared" si="4"/>
        <v>0</v>
      </c>
      <c r="T39" s="1">
        <f t="shared" si="5"/>
        <v>0</v>
      </c>
      <c r="U39" s="1">
        <f t="shared" si="1"/>
        <v>0</v>
      </c>
      <c r="V39" s="1">
        <f t="shared" si="6"/>
        <v>0</v>
      </c>
      <c r="W39" s="181">
        <f t="shared" si="7"/>
        <v>0</v>
      </c>
      <c r="X39" s="5">
        <f t="shared" si="42"/>
        <v>0</v>
      </c>
      <c r="Y39" s="1">
        <f t="shared" si="43"/>
        <v>0</v>
      </c>
      <c r="Z39" s="1">
        <f t="shared" si="44"/>
        <v>0</v>
      </c>
      <c r="AA39" s="182">
        <f t="shared" si="45"/>
        <v>0</v>
      </c>
      <c r="AB39" s="5">
        <f t="shared" si="46"/>
        <v>0</v>
      </c>
      <c r="AC39" s="183" t="e">
        <f t="shared" si="47"/>
        <v>#DIV/0!</v>
      </c>
    </row>
    <row r="40" spans="1:29" ht="30" x14ac:dyDescent="0.25">
      <c r="A40" s="180" t="str">
        <f>+'PRIORIZACIÓN (2)'!B43</f>
        <v>Unidad Auditable 30</v>
      </c>
      <c r="B40" s="191" t="str">
        <f>+IF('PRIORIZACIÓN (2)'!I43&gt;0%,"YA CUENTA CON PONDERACIÓN DE RIESGOS, NO DILIGENCIAR ANALISIS OCI", "DILIGENCIE ANALISIS OCI PARA ESTA UNIDAD AUDITABLE")</f>
        <v>DILIGENCIE ANALISIS OCI PARA ESTA UNIDAD AUDITABLE</v>
      </c>
      <c r="C40" s="184"/>
      <c r="D40" s="1">
        <f t="shared" si="33"/>
        <v>0</v>
      </c>
      <c r="E40" s="1"/>
      <c r="F40" s="1">
        <f t="shared" si="39"/>
        <v>0</v>
      </c>
      <c r="G40" s="185"/>
      <c r="H40" s="1">
        <f t="shared" si="35"/>
        <v>0</v>
      </c>
      <c r="I40" s="185"/>
      <c r="J40" s="1">
        <f t="shared" si="36"/>
        <v>0</v>
      </c>
      <c r="K40" s="1"/>
      <c r="L40" s="1">
        <f t="shared" si="40"/>
        <v>0</v>
      </c>
      <c r="M40" s="1"/>
      <c r="N40" s="1">
        <f t="shared" si="38"/>
        <v>0</v>
      </c>
      <c r="O40" s="1"/>
      <c r="P40" s="182">
        <f t="shared" si="41"/>
        <v>0</v>
      </c>
      <c r="Q40" s="1">
        <f t="shared" si="3"/>
        <v>0</v>
      </c>
      <c r="R40" s="1">
        <f t="shared" si="0"/>
        <v>0</v>
      </c>
      <c r="S40" s="1">
        <f t="shared" si="4"/>
        <v>0</v>
      </c>
      <c r="T40" s="1">
        <f t="shared" si="5"/>
        <v>0</v>
      </c>
      <c r="U40" s="1">
        <f t="shared" si="1"/>
        <v>0</v>
      </c>
      <c r="V40" s="1">
        <f t="shared" si="6"/>
        <v>0</v>
      </c>
      <c r="W40" s="181">
        <f t="shared" si="7"/>
        <v>0</v>
      </c>
      <c r="X40" s="5">
        <f t="shared" si="42"/>
        <v>0</v>
      </c>
      <c r="Y40" s="1">
        <f t="shared" si="43"/>
        <v>0</v>
      </c>
      <c r="Z40" s="1">
        <f t="shared" si="44"/>
        <v>0</v>
      </c>
      <c r="AA40" s="182">
        <f t="shared" si="45"/>
        <v>0</v>
      </c>
      <c r="AB40" s="5">
        <f t="shared" si="46"/>
        <v>0</v>
      </c>
      <c r="AC40" s="183" t="e">
        <f t="shared" si="47"/>
        <v>#DIV/0!</v>
      </c>
    </row>
    <row r="41" spans="1:29" ht="30" x14ac:dyDescent="0.25">
      <c r="A41" s="180" t="str">
        <f>+'PRIORIZACIÓN (2)'!B44</f>
        <v>Unidad Auditable 31</v>
      </c>
      <c r="B41" s="191" t="str">
        <f>+IF('PRIORIZACIÓN (2)'!I44&gt;0%,"YA CUENTA CON PONDERACIÓN DE RIESGOS, NO DILIGENCIAR ANALISIS OCI", "DILIGENCIE ANALISIS OCI PARA ESTA UNIDAD AUDITABLE")</f>
        <v>DILIGENCIE ANALISIS OCI PARA ESTA UNIDAD AUDITABLE</v>
      </c>
      <c r="C41" s="184"/>
      <c r="D41" s="1">
        <f t="shared" si="33"/>
        <v>0</v>
      </c>
      <c r="E41" s="1"/>
      <c r="F41" s="1">
        <f t="shared" si="39"/>
        <v>0</v>
      </c>
      <c r="G41" s="185"/>
      <c r="H41" s="1">
        <f t="shared" si="35"/>
        <v>0</v>
      </c>
      <c r="I41" s="185"/>
      <c r="J41" s="1">
        <f t="shared" si="36"/>
        <v>0</v>
      </c>
      <c r="K41" s="1"/>
      <c r="L41" s="1">
        <f t="shared" si="40"/>
        <v>0</v>
      </c>
      <c r="M41" s="1"/>
      <c r="N41" s="1">
        <f t="shared" si="38"/>
        <v>0</v>
      </c>
      <c r="O41" s="1"/>
      <c r="P41" s="182">
        <f t="shared" si="41"/>
        <v>0</v>
      </c>
      <c r="Q41" s="1">
        <f t="shared" si="3"/>
        <v>0</v>
      </c>
      <c r="R41" s="1">
        <f t="shared" si="0"/>
        <v>0</v>
      </c>
      <c r="S41" s="1">
        <f t="shared" si="4"/>
        <v>0</v>
      </c>
      <c r="T41" s="1">
        <f t="shared" si="5"/>
        <v>0</v>
      </c>
      <c r="U41" s="1">
        <f t="shared" si="1"/>
        <v>0</v>
      </c>
      <c r="V41" s="1">
        <f t="shared" si="6"/>
        <v>0</v>
      </c>
      <c r="W41" s="181">
        <f t="shared" si="7"/>
        <v>0</v>
      </c>
      <c r="X41" s="5">
        <f t="shared" si="42"/>
        <v>0</v>
      </c>
      <c r="Y41" s="1">
        <f t="shared" si="43"/>
        <v>0</v>
      </c>
      <c r="Z41" s="1">
        <f t="shared" si="44"/>
        <v>0</v>
      </c>
      <c r="AA41" s="182">
        <f t="shared" si="45"/>
        <v>0</v>
      </c>
      <c r="AB41" s="5">
        <f t="shared" si="46"/>
        <v>0</v>
      </c>
      <c r="AC41" s="183" t="e">
        <f t="shared" si="47"/>
        <v>#DIV/0!</v>
      </c>
    </row>
    <row r="42" spans="1:29" ht="30" x14ac:dyDescent="0.25">
      <c r="A42" s="180" t="str">
        <f>+'PRIORIZACIÓN (2)'!B45</f>
        <v>Unidad Auditable 32</v>
      </c>
      <c r="B42" s="191" t="str">
        <f>+IF('PRIORIZACIÓN (2)'!I45&gt;0%,"YA CUENTA CON PONDERACIÓN DE RIESGOS, NO DILIGENCIAR ANALISIS OCI", "DILIGENCIE ANALISIS OCI PARA ESTA UNIDAD AUDITABLE")</f>
        <v>DILIGENCIE ANALISIS OCI PARA ESTA UNIDAD AUDITABLE</v>
      </c>
      <c r="C42" s="184"/>
      <c r="D42" s="1">
        <f t="shared" si="33"/>
        <v>0</v>
      </c>
      <c r="E42" s="1"/>
      <c r="F42" s="1">
        <f t="shared" si="39"/>
        <v>0</v>
      </c>
      <c r="G42" s="185"/>
      <c r="H42" s="1">
        <f t="shared" si="35"/>
        <v>0</v>
      </c>
      <c r="I42" s="185"/>
      <c r="J42" s="1">
        <f t="shared" si="36"/>
        <v>0</v>
      </c>
      <c r="K42" s="1"/>
      <c r="L42" s="1">
        <f t="shared" si="40"/>
        <v>0</v>
      </c>
      <c r="M42" s="1"/>
      <c r="N42" s="1">
        <f t="shared" si="38"/>
        <v>0</v>
      </c>
      <c r="O42" s="1"/>
      <c r="P42" s="182">
        <f t="shared" si="41"/>
        <v>0</v>
      </c>
      <c r="Q42" s="1">
        <f t="shared" si="3"/>
        <v>0</v>
      </c>
      <c r="R42" s="1">
        <f t="shared" si="0"/>
        <v>0</v>
      </c>
      <c r="S42" s="1">
        <f t="shared" si="4"/>
        <v>0</v>
      </c>
      <c r="T42" s="1">
        <f t="shared" si="5"/>
        <v>0</v>
      </c>
      <c r="U42" s="1">
        <f t="shared" si="1"/>
        <v>0</v>
      </c>
      <c r="V42" s="1">
        <f t="shared" si="6"/>
        <v>0</v>
      </c>
      <c r="W42" s="181">
        <f t="shared" si="7"/>
        <v>0</v>
      </c>
      <c r="X42" s="5">
        <f t="shared" si="42"/>
        <v>0</v>
      </c>
      <c r="Y42" s="1">
        <f t="shared" si="43"/>
        <v>0</v>
      </c>
      <c r="Z42" s="1">
        <f t="shared" si="44"/>
        <v>0</v>
      </c>
      <c r="AA42" s="182">
        <f t="shared" si="45"/>
        <v>0</v>
      </c>
      <c r="AB42" s="5">
        <f t="shared" si="46"/>
        <v>0</v>
      </c>
      <c r="AC42" s="183" t="e">
        <f t="shared" si="47"/>
        <v>#DIV/0!</v>
      </c>
    </row>
    <row r="43" spans="1:29" ht="30" x14ac:dyDescent="0.25">
      <c r="A43" s="180" t="str">
        <f>+'PRIORIZACIÓN (2)'!B46</f>
        <v>Unidad Auditable 33</v>
      </c>
      <c r="B43" s="191" t="str">
        <f>+IF('PRIORIZACIÓN (2)'!I46&gt;0%,"YA CUENTA CON PONDERACIÓN DE RIESGOS, NO DILIGENCIAR ANALISIS OCI", "DILIGENCIE ANALISIS OCI PARA ESTA UNIDAD AUDITABLE")</f>
        <v>DILIGENCIE ANALISIS OCI PARA ESTA UNIDAD AUDITABLE</v>
      </c>
      <c r="C43" s="184"/>
      <c r="D43" s="1">
        <f t="shared" si="33"/>
        <v>0</v>
      </c>
      <c r="E43" s="1"/>
      <c r="F43" s="1">
        <f t="shared" si="39"/>
        <v>0</v>
      </c>
      <c r="G43" s="185"/>
      <c r="H43" s="1">
        <f t="shared" si="35"/>
        <v>0</v>
      </c>
      <c r="I43" s="185"/>
      <c r="J43" s="1">
        <f t="shared" si="36"/>
        <v>0</v>
      </c>
      <c r="K43" s="1"/>
      <c r="L43" s="1">
        <f t="shared" si="40"/>
        <v>0</v>
      </c>
      <c r="M43" s="1"/>
      <c r="N43" s="1">
        <f t="shared" si="38"/>
        <v>0</v>
      </c>
      <c r="O43" s="1"/>
      <c r="P43" s="182">
        <f t="shared" si="41"/>
        <v>0</v>
      </c>
      <c r="Q43" s="1">
        <f t="shared" si="3"/>
        <v>0</v>
      </c>
      <c r="R43" s="1">
        <f t="shared" si="0"/>
        <v>0</v>
      </c>
      <c r="S43" s="1">
        <f t="shared" si="4"/>
        <v>0</v>
      </c>
      <c r="T43" s="1">
        <f t="shared" si="5"/>
        <v>0</v>
      </c>
      <c r="U43" s="1">
        <f t="shared" si="1"/>
        <v>0</v>
      </c>
      <c r="V43" s="1">
        <f t="shared" si="6"/>
        <v>0</v>
      </c>
      <c r="W43" s="181">
        <f t="shared" si="7"/>
        <v>0</v>
      </c>
      <c r="X43" s="5">
        <f t="shared" si="42"/>
        <v>0</v>
      </c>
      <c r="Y43" s="1">
        <f t="shared" si="43"/>
        <v>0</v>
      </c>
      <c r="Z43" s="1">
        <f t="shared" si="44"/>
        <v>0</v>
      </c>
      <c r="AA43" s="182">
        <f t="shared" si="45"/>
        <v>0</v>
      </c>
      <c r="AB43" s="5">
        <f t="shared" si="46"/>
        <v>0</v>
      </c>
      <c r="AC43" s="183" t="e">
        <f t="shared" si="47"/>
        <v>#DIV/0!</v>
      </c>
    </row>
    <row r="44" spans="1:29" ht="30" x14ac:dyDescent="0.25">
      <c r="A44" s="180" t="str">
        <f>+'PRIORIZACIÓN (2)'!B47</f>
        <v>Unidad Auditable 34</v>
      </c>
      <c r="B44" s="191" t="str">
        <f>+IF('PRIORIZACIÓN (2)'!I47&gt;0%,"YA CUENTA CON PONDERACIÓN DE RIESGOS, NO DILIGENCIAR ANALISIS OCI", "DILIGENCIE ANALISIS OCI PARA ESTA UNIDAD AUDITABLE")</f>
        <v>DILIGENCIE ANALISIS OCI PARA ESTA UNIDAD AUDITABLE</v>
      </c>
      <c r="C44" s="184"/>
      <c r="D44" s="1">
        <f t="shared" si="33"/>
        <v>0</v>
      </c>
      <c r="E44" s="1"/>
      <c r="F44" s="1">
        <f t="shared" si="39"/>
        <v>0</v>
      </c>
      <c r="G44" s="185"/>
      <c r="H44" s="1">
        <f t="shared" si="35"/>
        <v>0</v>
      </c>
      <c r="I44" s="185"/>
      <c r="J44" s="1">
        <f t="shared" si="36"/>
        <v>0</v>
      </c>
      <c r="K44" s="1"/>
      <c r="L44" s="1">
        <f t="shared" si="40"/>
        <v>0</v>
      </c>
      <c r="M44" s="1"/>
      <c r="N44" s="1">
        <f t="shared" si="38"/>
        <v>0</v>
      </c>
      <c r="O44" s="1"/>
      <c r="P44" s="182">
        <f t="shared" si="41"/>
        <v>0</v>
      </c>
      <c r="Q44" s="1">
        <f t="shared" si="3"/>
        <v>0</v>
      </c>
      <c r="R44" s="1">
        <f t="shared" si="0"/>
        <v>0</v>
      </c>
      <c r="S44" s="1">
        <f t="shared" si="4"/>
        <v>0</v>
      </c>
      <c r="T44" s="1">
        <f t="shared" si="5"/>
        <v>0</v>
      </c>
      <c r="U44" s="1">
        <f t="shared" si="1"/>
        <v>0</v>
      </c>
      <c r="V44" s="1">
        <f t="shared" si="6"/>
        <v>0</v>
      </c>
      <c r="W44" s="181">
        <f t="shared" si="7"/>
        <v>0</v>
      </c>
      <c r="X44" s="5">
        <f t="shared" ref="X44:X88" si="48">COUNTIFS(Q44:W44,"E")</f>
        <v>0</v>
      </c>
      <c r="Y44" s="1">
        <f t="shared" ref="Y44:Y88" si="49">COUNTIF(Q44:W44,"A")</f>
        <v>0</v>
      </c>
      <c r="Z44" s="1">
        <f t="shared" ref="Z44:Z88" si="50">COUNTIF(Q44:W44,"M")</f>
        <v>0</v>
      </c>
      <c r="AA44" s="182">
        <f t="shared" ref="AA44:AA88" si="51">COUNTIF(Q44:W44,"B")</f>
        <v>0</v>
      </c>
      <c r="AB44" s="5">
        <f t="shared" ref="AB44:AB88" si="52">SUM(X44:AA44)</f>
        <v>0</v>
      </c>
      <c r="AC44" s="183" t="e">
        <f t="shared" ref="AC44:AC88" si="53">+IF((X44/AB44)&gt;=0.2,"Extremo",+IF(((X44/AB44)+(Y44/AB44))&gt;=0.3,"Alto",+IF(((X44/AB44)+(Y44/AB44)+(Z44/AB44))&gt;=0.4,"Moderado",+IF((X44/AB44)+(Y44/AB44)+(Z44/AB44)+(AA44/AB44)&gt;=0.5,"Bajo",""))))</f>
        <v>#DIV/0!</v>
      </c>
    </row>
    <row r="45" spans="1:29" ht="30" x14ac:dyDescent="0.25">
      <c r="A45" s="180" t="str">
        <f>+'PRIORIZACIÓN (2)'!B48</f>
        <v>Unidad Auditable 35</v>
      </c>
      <c r="B45" s="191" t="str">
        <f>+IF('PRIORIZACIÓN (2)'!I48&gt;0%,"YA CUENTA CON PONDERACIÓN DE RIESGOS, NO DILIGENCIAR ANALISIS OCI", "DILIGENCIE ANALISIS OCI PARA ESTA UNIDAD AUDITABLE")</f>
        <v>DILIGENCIE ANALISIS OCI PARA ESTA UNIDAD AUDITABLE</v>
      </c>
      <c r="C45" s="184"/>
      <c r="D45" s="1">
        <f t="shared" si="33"/>
        <v>0</v>
      </c>
      <c r="E45" s="1"/>
      <c r="F45" s="1">
        <f t="shared" si="39"/>
        <v>0</v>
      </c>
      <c r="G45" s="185"/>
      <c r="H45" s="1">
        <f t="shared" si="35"/>
        <v>0</v>
      </c>
      <c r="I45" s="185"/>
      <c r="J45" s="1">
        <f t="shared" si="36"/>
        <v>0</v>
      </c>
      <c r="K45" s="1"/>
      <c r="L45" s="1">
        <f t="shared" si="40"/>
        <v>0</v>
      </c>
      <c r="M45" s="1"/>
      <c r="N45" s="1">
        <f t="shared" si="38"/>
        <v>0</v>
      </c>
      <c r="O45" s="1"/>
      <c r="P45" s="182">
        <f t="shared" si="41"/>
        <v>0</v>
      </c>
      <c r="Q45" s="1">
        <f t="shared" si="3"/>
        <v>0</v>
      </c>
      <c r="R45" s="1">
        <f t="shared" si="0"/>
        <v>0</v>
      </c>
      <c r="S45" s="1">
        <f t="shared" si="4"/>
        <v>0</v>
      </c>
      <c r="T45" s="1">
        <f t="shared" si="5"/>
        <v>0</v>
      </c>
      <c r="U45" s="1">
        <f t="shared" si="1"/>
        <v>0</v>
      </c>
      <c r="V45" s="1">
        <f t="shared" si="6"/>
        <v>0</v>
      </c>
      <c r="W45" s="181">
        <f t="shared" si="7"/>
        <v>0</v>
      </c>
      <c r="X45" s="5">
        <f t="shared" si="48"/>
        <v>0</v>
      </c>
      <c r="Y45" s="1">
        <f t="shared" si="49"/>
        <v>0</v>
      </c>
      <c r="Z45" s="1">
        <f t="shared" si="50"/>
        <v>0</v>
      </c>
      <c r="AA45" s="182">
        <f t="shared" si="51"/>
        <v>0</v>
      </c>
      <c r="AB45" s="5">
        <f t="shared" si="52"/>
        <v>0</v>
      </c>
      <c r="AC45" s="183" t="e">
        <f t="shared" si="53"/>
        <v>#DIV/0!</v>
      </c>
    </row>
    <row r="46" spans="1:29" ht="30" x14ac:dyDescent="0.25">
      <c r="A46" s="180" t="str">
        <f>+'PRIORIZACIÓN (2)'!B49</f>
        <v>Unidad Auditable 36</v>
      </c>
      <c r="B46" s="191" t="str">
        <f>+IF('PRIORIZACIÓN (2)'!I49&gt;0%,"YA CUENTA CON PONDERACIÓN DE RIESGOS, NO DILIGENCIAR ANALISIS OCI", "DILIGENCIE ANALISIS OCI PARA ESTA UNIDAD AUDITABLE")</f>
        <v>DILIGENCIE ANALISIS OCI PARA ESTA UNIDAD AUDITABLE</v>
      </c>
      <c r="C46" s="184"/>
      <c r="D46" s="1">
        <f t="shared" si="33"/>
        <v>0</v>
      </c>
      <c r="E46" s="1"/>
      <c r="F46" s="1">
        <f t="shared" si="39"/>
        <v>0</v>
      </c>
      <c r="G46" s="185"/>
      <c r="H46" s="1">
        <f t="shared" si="35"/>
        <v>0</v>
      </c>
      <c r="I46" s="185"/>
      <c r="J46" s="1">
        <f t="shared" si="36"/>
        <v>0</v>
      </c>
      <c r="K46" s="1"/>
      <c r="L46" s="1">
        <f t="shared" si="40"/>
        <v>0</v>
      </c>
      <c r="M46" s="1"/>
      <c r="N46" s="1">
        <f t="shared" si="38"/>
        <v>0</v>
      </c>
      <c r="O46" s="1"/>
      <c r="P46" s="182">
        <f t="shared" si="41"/>
        <v>0</v>
      </c>
      <c r="Q46" s="1">
        <f t="shared" si="3"/>
        <v>0</v>
      </c>
      <c r="R46" s="1">
        <f t="shared" si="0"/>
        <v>0</v>
      </c>
      <c r="S46" s="1">
        <f t="shared" si="4"/>
        <v>0</v>
      </c>
      <c r="T46" s="1">
        <f t="shared" si="5"/>
        <v>0</v>
      </c>
      <c r="U46" s="1">
        <f t="shared" si="1"/>
        <v>0</v>
      </c>
      <c r="V46" s="1">
        <f t="shared" si="6"/>
        <v>0</v>
      </c>
      <c r="W46" s="181">
        <f t="shared" si="7"/>
        <v>0</v>
      </c>
      <c r="X46" s="5">
        <f t="shared" si="48"/>
        <v>0</v>
      </c>
      <c r="Y46" s="1">
        <f t="shared" si="49"/>
        <v>0</v>
      </c>
      <c r="Z46" s="1">
        <f t="shared" si="50"/>
        <v>0</v>
      </c>
      <c r="AA46" s="182">
        <f t="shared" si="51"/>
        <v>0</v>
      </c>
      <c r="AB46" s="5">
        <f t="shared" si="52"/>
        <v>0</v>
      </c>
      <c r="AC46" s="183" t="e">
        <f t="shared" si="53"/>
        <v>#DIV/0!</v>
      </c>
    </row>
    <row r="47" spans="1:29" ht="30" x14ac:dyDescent="0.25">
      <c r="A47" s="180" t="str">
        <f>+'PRIORIZACIÓN (2)'!B50</f>
        <v>Unidad Auditable 37</v>
      </c>
      <c r="B47" s="191" t="str">
        <f>+IF('PRIORIZACIÓN (2)'!I50&gt;0%,"YA CUENTA CON PONDERACIÓN DE RIESGOS, NO DILIGENCIAR ANALISIS OCI", "DILIGENCIE ANALISIS OCI PARA ESTA UNIDAD AUDITABLE")</f>
        <v>DILIGENCIE ANALISIS OCI PARA ESTA UNIDAD AUDITABLE</v>
      </c>
      <c r="C47" s="184"/>
      <c r="D47" s="1">
        <f t="shared" si="33"/>
        <v>0</v>
      </c>
      <c r="E47" s="1"/>
      <c r="F47" s="1">
        <f t="shared" si="39"/>
        <v>0</v>
      </c>
      <c r="G47" s="185"/>
      <c r="H47" s="1">
        <f t="shared" si="35"/>
        <v>0</v>
      </c>
      <c r="I47" s="185"/>
      <c r="J47" s="1">
        <f t="shared" si="36"/>
        <v>0</v>
      </c>
      <c r="K47" s="1"/>
      <c r="L47" s="1">
        <f t="shared" si="40"/>
        <v>0</v>
      </c>
      <c r="M47" s="1"/>
      <c r="N47" s="1">
        <f t="shared" si="38"/>
        <v>0</v>
      </c>
      <c r="O47" s="1"/>
      <c r="P47" s="182">
        <f t="shared" si="41"/>
        <v>0</v>
      </c>
      <c r="Q47" s="1">
        <f t="shared" si="3"/>
        <v>0</v>
      </c>
      <c r="R47" s="1">
        <f t="shared" si="0"/>
        <v>0</v>
      </c>
      <c r="S47" s="1">
        <f t="shared" si="4"/>
        <v>0</v>
      </c>
      <c r="T47" s="1">
        <f t="shared" si="5"/>
        <v>0</v>
      </c>
      <c r="U47" s="1">
        <f t="shared" si="1"/>
        <v>0</v>
      </c>
      <c r="V47" s="1">
        <f t="shared" si="6"/>
        <v>0</v>
      </c>
      <c r="W47" s="181">
        <f t="shared" si="7"/>
        <v>0</v>
      </c>
      <c r="X47" s="5">
        <f t="shared" si="48"/>
        <v>0</v>
      </c>
      <c r="Y47" s="1">
        <f t="shared" si="49"/>
        <v>0</v>
      </c>
      <c r="Z47" s="1">
        <f t="shared" si="50"/>
        <v>0</v>
      </c>
      <c r="AA47" s="182">
        <f t="shared" si="51"/>
        <v>0</v>
      </c>
      <c r="AB47" s="5">
        <f t="shared" si="52"/>
        <v>0</v>
      </c>
      <c r="AC47" s="183" t="e">
        <f t="shared" si="53"/>
        <v>#DIV/0!</v>
      </c>
    </row>
    <row r="48" spans="1:29" ht="30" x14ac:dyDescent="0.25">
      <c r="A48" s="180" t="str">
        <f>+'PRIORIZACIÓN (2)'!B51</f>
        <v>Unidad Auditable 38</v>
      </c>
      <c r="B48" s="191" t="str">
        <f>+IF('PRIORIZACIÓN (2)'!I51&gt;0%,"YA CUENTA CON PONDERACIÓN DE RIESGOS, NO DILIGENCIAR ANALISIS OCI", "DILIGENCIE ANALISIS OCI PARA ESTA UNIDAD AUDITABLE")</f>
        <v>DILIGENCIE ANALISIS OCI PARA ESTA UNIDAD AUDITABLE</v>
      </c>
      <c r="C48" s="184"/>
      <c r="D48" s="1">
        <f t="shared" si="33"/>
        <v>0</v>
      </c>
      <c r="E48" s="1"/>
      <c r="F48" s="1">
        <f t="shared" si="39"/>
        <v>0</v>
      </c>
      <c r="G48" s="185"/>
      <c r="H48" s="1">
        <f t="shared" si="35"/>
        <v>0</v>
      </c>
      <c r="I48" s="185"/>
      <c r="J48" s="1">
        <f t="shared" si="36"/>
        <v>0</v>
      </c>
      <c r="K48" s="1"/>
      <c r="L48" s="1">
        <f t="shared" si="40"/>
        <v>0</v>
      </c>
      <c r="M48" s="1"/>
      <c r="N48" s="1">
        <f t="shared" si="38"/>
        <v>0</v>
      </c>
      <c r="O48" s="1"/>
      <c r="P48" s="182">
        <f t="shared" si="41"/>
        <v>0</v>
      </c>
      <c r="Q48" s="1">
        <f t="shared" si="3"/>
        <v>0</v>
      </c>
      <c r="R48" s="1">
        <f t="shared" si="0"/>
        <v>0</v>
      </c>
      <c r="S48" s="1">
        <f t="shared" si="4"/>
        <v>0</v>
      </c>
      <c r="T48" s="1">
        <f t="shared" si="5"/>
        <v>0</v>
      </c>
      <c r="U48" s="1">
        <f t="shared" si="1"/>
        <v>0</v>
      </c>
      <c r="V48" s="1">
        <f t="shared" si="6"/>
        <v>0</v>
      </c>
      <c r="W48" s="181">
        <f t="shared" si="7"/>
        <v>0</v>
      </c>
      <c r="X48" s="5">
        <f t="shared" si="48"/>
        <v>0</v>
      </c>
      <c r="Y48" s="1">
        <f t="shared" si="49"/>
        <v>0</v>
      </c>
      <c r="Z48" s="1">
        <f t="shared" si="50"/>
        <v>0</v>
      </c>
      <c r="AA48" s="182">
        <f t="shared" si="51"/>
        <v>0</v>
      </c>
      <c r="AB48" s="5">
        <f t="shared" si="52"/>
        <v>0</v>
      </c>
      <c r="AC48" s="183" t="e">
        <f t="shared" si="53"/>
        <v>#DIV/0!</v>
      </c>
    </row>
    <row r="49" spans="1:29" ht="30" x14ac:dyDescent="0.25">
      <c r="A49" s="180" t="str">
        <f>+'PRIORIZACIÓN (2)'!B52</f>
        <v>Unidad Auditable 39</v>
      </c>
      <c r="B49" s="191" t="str">
        <f>+IF('PRIORIZACIÓN (2)'!I52&gt;0%,"YA CUENTA CON PONDERACIÓN DE RIESGOS, NO DILIGENCIAR ANALISIS OCI", "DILIGENCIE ANALISIS OCI PARA ESTA UNIDAD AUDITABLE")</f>
        <v>DILIGENCIE ANALISIS OCI PARA ESTA UNIDAD AUDITABLE</v>
      </c>
      <c r="C49" s="184"/>
      <c r="D49" s="1">
        <f t="shared" si="33"/>
        <v>0</v>
      </c>
      <c r="E49" s="1"/>
      <c r="F49" s="1">
        <f t="shared" si="39"/>
        <v>0</v>
      </c>
      <c r="G49" s="185"/>
      <c r="H49" s="1">
        <f t="shared" si="35"/>
        <v>0</v>
      </c>
      <c r="I49" s="185"/>
      <c r="J49" s="1">
        <f t="shared" si="36"/>
        <v>0</v>
      </c>
      <c r="K49" s="1"/>
      <c r="L49" s="1">
        <f t="shared" si="40"/>
        <v>0</v>
      </c>
      <c r="M49" s="1"/>
      <c r="N49" s="1">
        <f t="shared" si="38"/>
        <v>0</v>
      </c>
      <c r="O49" s="1"/>
      <c r="P49" s="182">
        <f t="shared" si="41"/>
        <v>0</v>
      </c>
      <c r="Q49" s="1">
        <f t="shared" si="3"/>
        <v>0</v>
      </c>
      <c r="R49" s="1">
        <f t="shared" si="0"/>
        <v>0</v>
      </c>
      <c r="S49" s="1">
        <f t="shared" si="4"/>
        <v>0</v>
      </c>
      <c r="T49" s="1">
        <f t="shared" si="5"/>
        <v>0</v>
      </c>
      <c r="U49" s="1">
        <f t="shared" si="1"/>
        <v>0</v>
      </c>
      <c r="V49" s="1">
        <f t="shared" si="6"/>
        <v>0</v>
      </c>
      <c r="W49" s="181">
        <f t="shared" si="7"/>
        <v>0</v>
      </c>
      <c r="X49" s="5">
        <f t="shared" si="48"/>
        <v>0</v>
      </c>
      <c r="Y49" s="1">
        <f t="shared" si="49"/>
        <v>0</v>
      </c>
      <c r="Z49" s="1">
        <f t="shared" si="50"/>
        <v>0</v>
      </c>
      <c r="AA49" s="182">
        <f t="shared" si="51"/>
        <v>0</v>
      </c>
      <c r="AB49" s="5">
        <f t="shared" si="52"/>
        <v>0</v>
      </c>
      <c r="AC49" s="183" t="e">
        <f t="shared" si="53"/>
        <v>#DIV/0!</v>
      </c>
    </row>
    <row r="50" spans="1:29" ht="30" x14ac:dyDescent="0.25">
      <c r="A50" s="180" t="str">
        <f>+'PRIORIZACIÓN (2)'!B53</f>
        <v>Unidad Auditable 40</v>
      </c>
      <c r="B50" s="191" t="str">
        <f>+IF('PRIORIZACIÓN (2)'!I53&gt;0%,"YA CUENTA CON PONDERACIÓN DE RIESGOS, NO DILIGENCIAR ANALISIS OCI", "DILIGENCIE ANALISIS OCI PARA ESTA UNIDAD AUDITABLE")</f>
        <v>DILIGENCIE ANALISIS OCI PARA ESTA UNIDAD AUDITABLE</v>
      </c>
      <c r="C50" s="184"/>
      <c r="D50" s="1">
        <f t="shared" si="33"/>
        <v>0</v>
      </c>
      <c r="E50" s="1"/>
      <c r="F50" s="1">
        <f t="shared" si="39"/>
        <v>0</v>
      </c>
      <c r="G50" s="185"/>
      <c r="H50" s="1">
        <f t="shared" si="35"/>
        <v>0</v>
      </c>
      <c r="I50" s="185"/>
      <c r="J50" s="1">
        <f t="shared" si="36"/>
        <v>0</v>
      </c>
      <c r="K50" s="1"/>
      <c r="L50" s="1">
        <f t="shared" si="40"/>
        <v>0</v>
      </c>
      <c r="M50" s="1"/>
      <c r="N50" s="1">
        <f t="shared" si="38"/>
        <v>0</v>
      </c>
      <c r="O50" s="1"/>
      <c r="P50" s="182">
        <f t="shared" si="41"/>
        <v>0</v>
      </c>
      <c r="Q50" s="1">
        <f t="shared" si="3"/>
        <v>0</v>
      </c>
      <c r="R50" s="1">
        <f t="shared" si="0"/>
        <v>0</v>
      </c>
      <c r="S50" s="1">
        <f t="shared" si="4"/>
        <v>0</v>
      </c>
      <c r="T50" s="1">
        <f t="shared" si="5"/>
        <v>0</v>
      </c>
      <c r="U50" s="1">
        <f t="shared" si="1"/>
        <v>0</v>
      </c>
      <c r="V50" s="1">
        <f t="shared" si="6"/>
        <v>0</v>
      </c>
      <c r="W50" s="181">
        <f t="shared" si="7"/>
        <v>0</v>
      </c>
      <c r="X50" s="5">
        <f t="shared" si="48"/>
        <v>0</v>
      </c>
      <c r="Y50" s="1">
        <f t="shared" si="49"/>
        <v>0</v>
      </c>
      <c r="Z50" s="1">
        <f t="shared" si="50"/>
        <v>0</v>
      </c>
      <c r="AA50" s="182">
        <f t="shared" si="51"/>
        <v>0</v>
      </c>
      <c r="AB50" s="5">
        <f t="shared" si="52"/>
        <v>0</v>
      </c>
      <c r="AC50" s="183" t="e">
        <f t="shared" si="53"/>
        <v>#DIV/0!</v>
      </c>
    </row>
    <row r="51" spans="1:29" ht="30" x14ac:dyDescent="0.25">
      <c r="A51" s="180" t="str">
        <f>+'PRIORIZACIÓN (2)'!B54</f>
        <v>Unidad Auditable 41</v>
      </c>
      <c r="B51" s="191" t="str">
        <f>+IF('PRIORIZACIÓN (2)'!I54&gt;0%,"YA CUENTA CON PONDERACIÓN DE RIESGOS, NO DILIGENCIAR ANALISIS OCI", "DILIGENCIE ANALISIS OCI PARA ESTA UNIDAD AUDITABLE")</f>
        <v>DILIGENCIE ANALISIS OCI PARA ESTA UNIDAD AUDITABLE</v>
      </c>
      <c r="C51" s="184"/>
      <c r="D51" s="1">
        <f t="shared" si="33"/>
        <v>0</v>
      </c>
      <c r="E51" s="1"/>
      <c r="F51" s="1">
        <f t="shared" si="39"/>
        <v>0</v>
      </c>
      <c r="G51" s="185"/>
      <c r="H51" s="1">
        <f t="shared" si="35"/>
        <v>0</v>
      </c>
      <c r="I51" s="185"/>
      <c r="J51" s="1">
        <f t="shared" si="36"/>
        <v>0</v>
      </c>
      <c r="K51" s="1"/>
      <c r="L51" s="1">
        <f t="shared" si="40"/>
        <v>0</v>
      </c>
      <c r="M51" s="1"/>
      <c r="N51" s="1">
        <f t="shared" si="38"/>
        <v>0</v>
      </c>
      <c r="O51" s="1"/>
      <c r="P51" s="182">
        <f t="shared" si="41"/>
        <v>0</v>
      </c>
      <c r="Q51" s="1">
        <f t="shared" si="3"/>
        <v>0</v>
      </c>
      <c r="R51" s="1">
        <f t="shared" si="0"/>
        <v>0</v>
      </c>
      <c r="S51" s="1">
        <f t="shared" si="4"/>
        <v>0</v>
      </c>
      <c r="T51" s="1">
        <f t="shared" si="5"/>
        <v>0</v>
      </c>
      <c r="U51" s="1">
        <f t="shared" si="1"/>
        <v>0</v>
      </c>
      <c r="V51" s="1">
        <f t="shared" si="6"/>
        <v>0</v>
      </c>
      <c r="W51" s="181">
        <f t="shared" si="7"/>
        <v>0</v>
      </c>
      <c r="X51" s="5">
        <f t="shared" si="48"/>
        <v>0</v>
      </c>
      <c r="Y51" s="1">
        <f t="shared" si="49"/>
        <v>0</v>
      </c>
      <c r="Z51" s="1">
        <f t="shared" si="50"/>
        <v>0</v>
      </c>
      <c r="AA51" s="182">
        <f t="shared" si="51"/>
        <v>0</v>
      </c>
      <c r="AB51" s="5">
        <f t="shared" si="52"/>
        <v>0</v>
      </c>
      <c r="AC51" s="183" t="e">
        <f t="shared" si="53"/>
        <v>#DIV/0!</v>
      </c>
    </row>
    <row r="52" spans="1:29" ht="30" x14ac:dyDescent="0.25">
      <c r="A52" s="180" t="str">
        <f>+'PRIORIZACIÓN (2)'!B55</f>
        <v>Unidad Auditable 42</v>
      </c>
      <c r="B52" s="191" t="str">
        <f>+IF('PRIORIZACIÓN (2)'!I55&gt;0%,"YA CUENTA CON PONDERACIÓN DE RIESGOS, NO DILIGENCIAR ANALISIS OCI", "DILIGENCIE ANALISIS OCI PARA ESTA UNIDAD AUDITABLE")</f>
        <v>DILIGENCIE ANALISIS OCI PARA ESTA UNIDAD AUDITABLE</v>
      </c>
      <c r="C52" s="184"/>
      <c r="D52" s="1">
        <f t="shared" si="33"/>
        <v>0</v>
      </c>
      <c r="E52" s="1"/>
      <c r="F52" s="1">
        <f t="shared" si="39"/>
        <v>0</v>
      </c>
      <c r="G52" s="185"/>
      <c r="H52" s="1">
        <f t="shared" si="35"/>
        <v>0</v>
      </c>
      <c r="I52" s="185"/>
      <c r="J52" s="1">
        <f t="shared" si="36"/>
        <v>0</v>
      </c>
      <c r="K52" s="1"/>
      <c r="L52" s="1">
        <f t="shared" si="40"/>
        <v>0</v>
      </c>
      <c r="M52" s="1"/>
      <c r="N52" s="1">
        <f t="shared" si="38"/>
        <v>0</v>
      </c>
      <c r="O52" s="1"/>
      <c r="P52" s="182">
        <f t="shared" si="41"/>
        <v>0</v>
      </c>
      <c r="Q52" s="1">
        <f t="shared" si="3"/>
        <v>0</v>
      </c>
      <c r="R52" s="1">
        <f t="shared" si="0"/>
        <v>0</v>
      </c>
      <c r="S52" s="1">
        <f t="shared" si="4"/>
        <v>0</v>
      </c>
      <c r="T52" s="1">
        <f t="shared" si="5"/>
        <v>0</v>
      </c>
      <c r="U52" s="1">
        <f t="shared" si="1"/>
        <v>0</v>
      </c>
      <c r="V52" s="1">
        <f t="shared" si="6"/>
        <v>0</v>
      </c>
      <c r="W52" s="181">
        <f t="shared" si="7"/>
        <v>0</v>
      </c>
      <c r="X52" s="5">
        <f t="shared" si="48"/>
        <v>0</v>
      </c>
      <c r="Y52" s="1">
        <f t="shared" si="49"/>
        <v>0</v>
      </c>
      <c r="Z52" s="1">
        <f t="shared" si="50"/>
        <v>0</v>
      </c>
      <c r="AA52" s="182">
        <f t="shared" si="51"/>
        <v>0</v>
      </c>
      <c r="AB52" s="5">
        <f t="shared" si="52"/>
        <v>0</v>
      </c>
      <c r="AC52" s="183" t="e">
        <f t="shared" si="53"/>
        <v>#DIV/0!</v>
      </c>
    </row>
    <row r="53" spans="1:29" ht="30" x14ac:dyDescent="0.25">
      <c r="A53" s="180" t="str">
        <f>+'PRIORIZACIÓN (2)'!B56</f>
        <v>Unidad Auditable 43</v>
      </c>
      <c r="B53" s="191" t="str">
        <f>+IF('PRIORIZACIÓN (2)'!I56&gt;0%,"YA CUENTA CON PONDERACIÓN DE RIESGOS, NO DILIGENCIAR ANALISIS OCI", "DILIGENCIE ANALISIS OCI PARA ESTA UNIDAD AUDITABLE")</f>
        <v>DILIGENCIE ANALISIS OCI PARA ESTA UNIDAD AUDITABLE</v>
      </c>
      <c r="C53" s="184"/>
      <c r="D53" s="1">
        <f t="shared" si="33"/>
        <v>0</v>
      </c>
      <c r="E53" s="1"/>
      <c r="F53" s="1">
        <f t="shared" si="39"/>
        <v>0</v>
      </c>
      <c r="G53" s="185"/>
      <c r="H53" s="1">
        <f t="shared" si="35"/>
        <v>0</v>
      </c>
      <c r="I53" s="185"/>
      <c r="J53" s="1">
        <f t="shared" si="36"/>
        <v>0</v>
      </c>
      <c r="K53" s="1"/>
      <c r="L53" s="1">
        <f t="shared" si="40"/>
        <v>0</v>
      </c>
      <c r="M53" s="1"/>
      <c r="N53" s="1">
        <f t="shared" si="38"/>
        <v>0</v>
      </c>
      <c r="O53" s="1"/>
      <c r="P53" s="182">
        <f t="shared" si="41"/>
        <v>0</v>
      </c>
      <c r="Q53" s="1">
        <f t="shared" si="3"/>
        <v>0</v>
      </c>
      <c r="R53" s="1">
        <f t="shared" si="0"/>
        <v>0</v>
      </c>
      <c r="S53" s="1">
        <f t="shared" si="4"/>
        <v>0</v>
      </c>
      <c r="T53" s="1">
        <f t="shared" si="5"/>
        <v>0</v>
      </c>
      <c r="U53" s="1">
        <f t="shared" si="1"/>
        <v>0</v>
      </c>
      <c r="V53" s="1">
        <f t="shared" si="6"/>
        <v>0</v>
      </c>
      <c r="W53" s="181">
        <f t="shared" si="7"/>
        <v>0</v>
      </c>
      <c r="X53" s="5">
        <f t="shared" si="48"/>
        <v>0</v>
      </c>
      <c r="Y53" s="1">
        <f t="shared" si="49"/>
        <v>0</v>
      </c>
      <c r="Z53" s="1">
        <f t="shared" si="50"/>
        <v>0</v>
      </c>
      <c r="AA53" s="182">
        <f t="shared" si="51"/>
        <v>0</v>
      </c>
      <c r="AB53" s="5">
        <f t="shared" si="52"/>
        <v>0</v>
      </c>
      <c r="AC53" s="183" t="e">
        <f t="shared" si="53"/>
        <v>#DIV/0!</v>
      </c>
    </row>
    <row r="54" spans="1:29" ht="30" x14ac:dyDescent="0.25">
      <c r="A54" s="180" t="str">
        <f>+'PRIORIZACIÓN (2)'!B57</f>
        <v>Unidad Auditable 44</v>
      </c>
      <c r="B54" s="191" t="str">
        <f>+IF('PRIORIZACIÓN (2)'!I57&gt;0%,"YA CUENTA CON PONDERACIÓN DE RIESGOS, NO DILIGENCIAR ANALISIS OCI", "DILIGENCIE ANALISIS OCI PARA ESTA UNIDAD AUDITABLE")</f>
        <v>DILIGENCIE ANALISIS OCI PARA ESTA UNIDAD AUDITABLE</v>
      </c>
      <c r="C54" s="184"/>
      <c r="D54" s="1">
        <f t="shared" si="33"/>
        <v>0</v>
      </c>
      <c r="E54" s="1"/>
      <c r="F54" s="1">
        <f t="shared" si="39"/>
        <v>0</v>
      </c>
      <c r="G54" s="185"/>
      <c r="H54" s="1">
        <f t="shared" si="35"/>
        <v>0</v>
      </c>
      <c r="I54" s="185"/>
      <c r="J54" s="1">
        <f t="shared" si="36"/>
        <v>0</v>
      </c>
      <c r="K54" s="1"/>
      <c r="L54" s="1">
        <f t="shared" si="40"/>
        <v>0</v>
      </c>
      <c r="M54" s="1"/>
      <c r="N54" s="1">
        <f t="shared" si="38"/>
        <v>0</v>
      </c>
      <c r="O54" s="1"/>
      <c r="P54" s="182">
        <f t="shared" si="41"/>
        <v>0</v>
      </c>
      <c r="Q54" s="1">
        <f t="shared" si="3"/>
        <v>0</v>
      </c>
      <c r="R54" s="1">
        <f t="shared" si="0"/>
        <v>0</v>
      </c>
      <c r="S54" s="1">
        <f t="shared" si="4"/>
        <v>0</v>
      </c>
      <c r="T54" s="1">
        <f t="shared" si="5"/>
        <v>0</v>
      </c>
      <c r="U54" s="1">
        <f t="shared" si="1"/>
        <v>0</v>
      </c>
      <c r="V54" s="1">
        <f t="shared" si="6"/>
        <v>0</v>
      </c>
      <c r="W54" s="181">
        <f t="shared" si="7"/>
        <v>0</v>
      </c>
      <c r="X54" s="5">
        <f t="shared" si="48"/>
        <v>0</v>
      </c>
      <c r="Y54" s="1">
        <f t="shared" si="49"/>
        <v>0</v>
      </c>
      <c r="Z54" s="1">
        <f t="shared" si="50"/>
        <v>0</v>
      </c>
      <c r="AA54" s="182">
        <f t="shared" si="51"/>
        <v>0</v>
      </c>
      <c r="AB54" s="5">
        <f t="shared" si="52"/>
        <v>0</v>
      </c>
      <c r="AC54" s="183" t="e">
        <f t="shared" si="53"/>
        <v>#DIV/0!</v>
      </c>
    </row>
    <row r="55" spans="1:29" ht="30" x14ac:dyDescent="0.25">
      <c r="A55" s="180" t="str">
        <f>+'PRIORIZACIÓN (2)'!B58</f>
        <v>Unidad Auditable 45</v>
      </c>
      <c r="B55" s="191" t="str">
        <f>+IF('PRIORIZACIÓN (2)'!I58&gt;0%,"YA CUENTA CON PONDERACIÓN DE RIESGOS, NO DILIGENCIAR ANALISIS OCI", "DILIGENCIE ANALISIS OCI PARA ESTA UNIDAD AUDITABLE")</f>
        <v>DILIGENCIE ANALISIS OCI PARA ESTA UNIDAD AUDITABLE</v>
      </c>
      <c r="C55" s="184"/>
      <c r="D55" s="1">
        <f t="shared" si="33"/>
        <v>0</v>
      </c>
      <c r="E55" s="1"/>
      <c r="F55" s="1">
        <f t="shared" si="39"/>
        <v>0</v>
      </c>
      <c r="G55" s="185"/>
      <c r="H55" s="1">
        <f t="shared" si="35"/>
        <v>0</v>
      </c>
      <c r="I55" s="185"/>
      <c r="J55" s="1">
        <f t="shared" si="36"/>
        <v>0</v>
      </c>
      <c r="K55" s="1"/>
      <c r="L55" s="1">
        <f t="shared" si="40"/>
        <v>0</v>
      </c>
      <c r="M55" s="1"/>
      <c r="N55" s="1">
        <f t="shared" si="38"/>
        <v>0</v>
      </c>
      <c r="O55" s="1"/>
      <c r="P55" s="182">
        <f t="shared" si="41"/>
        <v>0</v>
      </c>
      <c r="Q55" s="1">
        <f t="shared" si="3"/>
        <v>0</v>
      </c>
      <c r="R55" s="1">
        <f t="shared" si="0"/>
        <v>0</v>
      </c>
      <c r="S55" s="1">
        <f t="shared" si="4"/>
        <v>0</v>
      </c>
      <c r="T55" s="1">
        <f t="shared" si="5"/>
        <v>0</v>
      </c>
      <c r="U55" s="1">
        <f t="shared" si="1"/>
        <v>0</v>
      </c>
      <c r="V55" s="1">
        <f t="shared" si="6"/>
        <v>0</v>
      </c>
      <c r="W55" s="181">
        <f t="shared" si="7"/>
        <v>0</v>
      </c>
      <c r="X55" s="5">
        <f t="shared" si="48"/>
        <v>0</v>
      </c>
      <c r="Y55" s="1">
        <f t="shared" si="49"/>
        <v>0</v>
      </c>
      <c r="Z55" s="1">
        <f t="shared" si="50"/>
        <v>0</v>
      </c>
      <c r="AA55" s="182">
        <f t="shared" si="51"/>
        <v>0</v>
      </c>
      <c r="AB55" s="5">
        <f t="shared" si="52"/>
        <v>0</v>
      </c>
      <c r="AC55" s="183" t="e">
        <f t="shared" si="53"/>
        <v>#DIV/0!</v>
      </c>
    </row>
    <row r="56" spans="1:29" ht="30" x14ac:dyDescent="0.25">
      <c r="A56" s="180" t="str">
        <f>+'PRIORIZACIÓN (2)'!B59</f>
        <v>Unidad Auditable 46</v>
      </c>
      <c r="B56" s="191" t="str">
        <f>+IF('PRIORIZACIÓN (2)'!I59&gt;0%,"YA CUENTA CON PONDERACIÓN DE RIESGOS, NO DILIGENCIAR ANALISIS OCI", "DILIGENCIE ANALISIS OCI PARA ESTA UNIDAD AUDITABLE")</f>
        <v>DILIGENCIE ANALISIS OCI PARA ESTA UNIDAD AUDITABLE</v>
      </c>
      <c r="C56" s="184"/>
      <c r="D56" s="1">
        <f t="shared" si="33"/>
        <v>0</v>
      </c>
      <c r="E56" s="1"/>
      <c r="F56" s="1">
        <f t="shared" si="39"/>
        <v>0</v>
      </c>
      <c r="G56" s="185"/>
      <c r="H56" s="1">
        <f t="shared" si="35"/>
        <v>0</v>
      </c>
      <c r="I56" s="185"/>
      <c r="J56" s="1">
        <f t="shared" si="36"/>
        <v>0</v>
      </c>
      <c r="K56" s="1"/>
      <c r="L56" s="1">
        <f t="shared" si="40"/>
        <v>0</v>
      </c>
      <c r="M56" s="1"/>
      <c r="N56" s="1">
        <f t="shared" si="38"/>
        <v>0</v>
      </c>
      <c r="O56" s="1"/>
      <c r="P56" s="182">
        <f t="shared" si="41"/>
        <v>0</v>
      </c>
      <c r="Q56" s="1">
        <f t="shared" si="3"/>
        <v>0</v>
      </c>
      <c r="R56" s="1">
        <f t="shared" si="0"/>
        <v>0</v>
      </c>
      <c r="S56" s="1">
        <f t="shared" si="4"/>
        <v>0</v>
      </c>
      <c r="T56" s="1">
        <f t="shared" si="5"/>
        <v>0</v>
      </c>
      <c r="U56" s="1">
        <f t="shared" si="1"/>
        <v>0</v>
      </c>
      <c r="V56" s="1">
        <f t="shared" si="6"/>
        <v>0</v>
      </c>
      <c r="W56" s="181">
        <f t="shared" si="7"/>
        <v>0</v>
      </c>
      <c r="X56" s="5">
        <f t="shared" si="48"/>
        <v>0</v>
      </c>
      <c r="Y56" s="1">
        <f t="shared" si="49"/>
        <v>0</v>
      </c>
      <c r="Z56" s="1">
        <f t="shared" si="50"/>
        <v>0</v>
      </c>
      <c r="AA56" s="182">
        <f t="shared" si="51"/>
        <v>0</v>
      </c>
      <c r="AB56" s="5">
        <f t="shared" si="52"/>
        <v>0</v>
      </c>
      <c r="AC56" s="183" t="e">
        <f t="shared" si="53"/>
        <v>#DIV/0!</v>
      </c>
    </row>
    <row r="57" spans="1:29" ht="30" x14ac:dyDescent="0.25">
      <c r="A57" s="180" t="str">
        <f>+'PRIORIZACIÓN (2)'!B60</f>
        <v>Unidad Auditable 47</v>
      </c>
      <c r="B57" s="191" t="str">
        <f>+IF('PRIORIZACIÓN (2)'!I60&gt;0%,"YA CUENTA CON PONDERACIÓN DE RIESGOS, NO DILIGENCIAR ANALISIS OCI", "DILIGENCIE ANALISIS OCI PARA ESTA UNIDAD AUDITABLE")</f>
        <v>DILIGENCIE ANALISIS OCI PARA ESTA UNIDAD AUDITABLE</v>
      </c>
      <c r="C57" s="184"/>
      <c r="D57" s="1">
        <f t="shared" si="33"/>
        <v>0</v>
      </c>
      <c r="E57" s="1"/>
      <c r="F57" s="1">
        <f t="shared" si="39"/>
        <v>0</v>
      </c>
      <c r="G57" s="185"/>
      <c r="H57" s="1">
        <f t="shared" si="35"/>
        <v>0</v>
      </c>
      <c r="I57" s="185"/>
      <c r="J57" s="1">
        <f t="shared" si="36"/>
        <v>0</v>
      </c>
      <c r="K57" s="1"/>
      <c r="L57" s="1">
        <f t="shared" si="40"/>
        <v>0</v>
      </c>
      <c r="M57" s="1"/>
      <c r="N57" s="1">
        <f t="shared" si="38"/>
        <v>0</v>
      </c>
      <c r="O57" s="1"/>
      <c r="P57" s="182">
        <f t="shared" si="41"/>
        <v>0</v>
      </c>
      <c r="Q57" s="1">
        <f t="shared" si="3"/>
        <v>0</v>
      </c>
      <c r="R57" s="1">
        <f t="shared" si="0"/>
        <v>0</v>
      </c>
      <c r="S57" s="1">
        <f t="shared" si="4"/>
        <v>0</v>
      </c>
      <c r="T57" s="1">
        <f t="shared" si="5"/>
        <v>0</v>
      </c>
      <c r="U57" s="1">
        <f t="shared" si="1"/>
        <v>0</v>
      </c>
      <c r="V57" s="1">
        <f t="shared" si="6"/>
        <v>0</v>
      </c>
      <c r="W57" s="181">
        <f t="shared" si="7"/>
        <v>0</v>
      </c>
      <c r="X57" s="5">
        <f t="shared" si="48"/>
        <v>0</v>
      </c>
      <c r="Y57" s="1">
        <f t="shared" si="49"/>
        <v>0</v>
      </c>
      <c r="Z57" s="1">
        <f t="shared" si="50"/>
        <v>0</v>
      </c>
      <c r="AA57" s="182">
        <f t="shared" si="51"/>
        <v>0</v>
      </c>
      <c r="AB57" s="5">
        <f t="shared" si="52"/>
        <v>0</v>
      </c>
      <c r="AC57" s="183" t="e">
        <f t="shared" si="53"/>
        <v>#DIV/0!</v>
      </c>
    </row>
    <row r="58" spans="1:29" ht="30" x14ac:dyDescent="0.25">
      <c r="A58" s="180" t="str">
        <f>+'PRIORIZACIÓN (2)'!B61</f>
        <v>Unidad Auditable 48</v>
      </c>
      <c r="B58" s="191" t="str">
        <f>+IF('PRIORIZACIÓN (2)'!I61&gt;0%,"YA CUENTA CON PONDERACIÓN DE RIESGOS, NO DILIGENCIAR ANALISIS OCI", "DILIGENCIE ANALISIS OCI PARA ESTA UNIDAD AUDITABLE")</f>
        <v>DILIGENCIE ANALISIS OCI PARA ESTA UNIDAD AUDITABLE</v>
      </c>
      <c r="C58" s="184"/>
      <c r="D58" s="1">
        <f t="shared" si="33"/>
        <v>0</v>
      </c>
      <c r="E58" s="1"/>
      <c r="F58" s="1">
        <f t="shared" si="39"/>
        <v>0</v>
      </c>
      <c r="G58" s="185"/>
      <c r="H58" s="1">
        <f t="shared" si="35"/>
        <v>0</v>
      </c>
      <c r="I58" s="185"/>
      <c r="J58" s="1">
        <f t="shared" si="36"/>
        <v>0</v>
      </c>
      <c r="K58" s="1"/>
      <c r="L58" s="1">
        <f t="shared" si="40"/>
        <v>0</v>
      </c>
      <c r="M58" s="1"/>
      <c r="N58" s="1">
        <f t="shared" si="38"/>
        <v>0</v>
      </c>
      <c r="O58" s="1"/>
      <c r="P58" s="182">
        <f t="shared" si="41"/>
        <v>0</v>
      </c>
      <c r="Q58" s="1">
        <f t="shared" si="3"/>
        <v>0</v>
      </c>
      <c r="R58" s="1">
        <f t="shared" si="0"/>
        <v>0</v>
      </c>
      <c r="S58" s="1">
        <f t="shared" si="4"/>
        <v>0</v>
      </c>
      <c r="T58" s="1">
        <f t="shared" si="5"/>
        <v>0</v>
      </c>
      <c r="U58" s="1">
        <f t="shared" si="1"/>
        <v>0</v>
      </c>
      <c r="V58" s="1">
        <f t="shared" si="6"/>
        <v>0</v>
      </c>
      <c r="W58" s="181">
        <f t="shared" si="7"/>
        <v>0</v>
      </c>
      <c r="X58" s="5">
        <f t="shared" si="48"/>
        <v>0</v>
      </c>
      <c r="Y58" s="1">
        <f t="shared" si="49"/>
        <v>0</v>
      </c>
      <c r="Z58" s="1">
        <f t="shared" si="50"/>
        <v>0</v>
      </c>
      <c r="AA58" s="182">
        <f t="shared" si="51"/>
        <v>0</v>
      </c>
      <c r="AB58" s="5">
        <f t="shared" si="52"/>
        <v>0</v>
      </c>
      <c r="AC58" s="183" t="e">
        <f t="shared" si="53"/>
        <v>#DIV/0!</v>
      </c>
    </row>
    <row r="59" spans="1:29" ht="30" x14ac:dyDescent="0.25">
      <c r="A59" s="180" t="str">
        <f>+'PRIORIZACIÓN (2)'!B62</f>
        <v>Unidad Auditable 49</v>
      </c>
      <c r="B59" s="191" t="str">
        <f>+IF('PRIORIZACIÓN (2)'!I62&gt;0%,"YA CUENTA CON PONDERACIÓN DE RIESGOS, NO DILIGENCIAR ANALISIS OCI", "DILIGENCIE ANALISIS OCI PARA ESTA UNIDAD AUDITABLE")</f>
        <v>DILIGENCIE ANALISIS OCI PARA ESTA UNIDAD AUDITABLE</v>
      </c>
      <c r="C59" s="184"/>
      <c r="D59" s="1">
        <f t="shared" si="33"/>
        <v>0</v>
      </c>
      <c r="E59" s="1"/>
      <c r="F59" s="1">
        <f t="shared" si="39"/>
        <v>0</v>
      </c>
      <c r="G59" s="185"/>
      <c r="H59" s="1">
        <f t="shared" si="35"/>
        <v>0</v>
      </c>
      <c r="I59" s="185"/>
      <c r="J59" s="1">
        <f t="shared" si="36"/>
        <v>0</v>
      </c>
      <c r="K59" s="1"/>
      <c r="L59" s="1">
        <f t="shared" si="40"/>
        <v>0</v>
      </c>
      <c r="M59" s="1"/>
      <c r="N59" s="1">
        <f t="shared" si="38"/>
        <v>0</v>
      </c>
      <c r="O59" s="1"/>
      <c r="P59" s="182">
        <f t="shared" si="41"/>
        <v>0</v>
      </c>
      <c r="Q59" s="1">
        <f t="shared" si="3"/>
        <v>0</v>
      </c>
      <c r="R59" s="1">
        <f t="shared" si="0"/>
        <v>0</v>
      </c>
      <c r="S59" s="1">
        <f t="shared" si="4"/>
        <v>0</v>
      </c>
      <c r="T59" s="1">
        <f t="shared" si="5"/>
        <v>0</v>
      </c>
      <c r="U59" s="1">
        <f t="shared" si="1"/>
        <v>0</v>
      </c>
      <c r="V59" s="1">
        <f t="shared" si="6"/>
        <v>0</v>
      </c>
      <c r="W59" s="181">
        <f t="shared" si="7"/>
        <v>0</v>
      </c>
      <c r="X59" s="5">
        <f t="shared" si="48"/>
        <v>0</v>
      </c>
      <c r="Y59" s="1">
        <f t="shared" si="49"/>
        <v>0</v>
      </c>
      <c r="Z59" s="1">
        <f t="shared" si="50"/>
        <v>0</v>
      </c>
      <c r="AA59" s="182">
        <f t="shared" si="51"/>
        <v>0</v>
      </c>
      <c r="AB59" s="5">
        <f t="shared" si="52"/>
        <v>0</v>
      </c>
      <c r="AC59" s="183" t="e">
        <f t="shared" si="53"/>
        <v>#DIV/0!</v>
      </c>
    </row>
    <row r="60" spans="1:29" ht="30" x14ac:dyDescent="0.25">
      <c r="A60" s="180" t="str">
        <f>+'PRIORIZACIÓN (2)'!B63</f>
        <v>Unidad Auditable 50</v>
      </c>
      <c r="B60" s="191" t="str">
        <f>+IF('PRIORIZACIÓN (2)'!I63&gt;0%,"YA CUENTA CON PONDERACIÓN DE RIESGOS, NO DILIGENCIAR ANALISIS OCI", "DILIGENCIE ANALISIS OCI PARA ESTA UNIDAD AUDITABLE")</f>
        <v>DILIGENCIE ANALISIS OCI PARA ESTA UNIDAD AUDITABLE</v>
      </c>
      <c r="C60" s="184"/>
      <c r="D60" s="1">
        <f t="shared" si="33"/>
        <v>0</v>
      </c>
      <c r="E60" s="1"/>
      <c r="F60" s="1">
        <f t="shared" si="39"/>
        <v>0</v>
      </c>
      <c r="G60" s="185"/>
      <c r="H60" s="1">
        <f t="shared" si="35"/>
        <v>0</v>
      </c>
      <c r="I60" s="185"/>
      <c r="J60" s="1">
        <f t="shared" si="36"/>
        <v>0</v>
      </c>
      <c r="K60" s="1"/>
      <c r="L60" s="1">
        <f t="shared" si="40"/>
        <v>0</v>
      </c>
      <c r="M60" s="1"/>
      <c r="N60" s="1">
        <f t="shared" si="38"/>
        <v>0</v>
      </c>
      <c r="O60" s="1"/>
      <c r="P60" s="182">
        <f t="shared" si="41"/>
        <v>0</v>
      </c>
      <c r="Q60" s="1">
        <f t="shared" si="3"/>
        <v>0</v>
      </c>
      <c r="R60" s="1">
        <f t="shared" si="0"/>
        <v>0</v>
      </c>
      <c r="S60" s="1">
        <f t="shared" si="4"/>
        <v>0</v>
      </c>
      <c r="T60" s="1">
        <f t="shared" si="5"/>
        <v>0</v>
      </c>
      <c r="U60" s="1">
        <f t="shared" si="1"/>
        <v>0</v>
      </c>
      <c r="V60" s="1">
        <f t="shared" si="6"/>
        <v>0</v>
      </c>
      <c r="W60" s="181">
        <f t="shared" si="7"/>
        <v>0</v>
      </c>
      <c r="X60" s="5">
        <f t="shared" si="48"/>
        <v>0</v>
      </c>
      <c r="Y60" s="1">
        <f t="shared" si="49"/>
        <v>0</v>
      </c>
      <c r="Z60" s="1">
        <f t="shared" si="50"/>
        <v>0</v>
      </c>
      <c r="AA60" s="182">
        <f t="shared" si="51"/>
        <v>0</v>
      </c>
      <c r="AB60" s="5">
        <f t="shared" si="52"/>
        <v>0</v>
      </c>
      <c r="AC60" s="183" t="e">
        <f t="shared" si="53"/>
        <v>#DIV/0!</v>
      </c>
    </row>
    <row r="61" spans="1:29" ht="30" x14ac:dyDescent="0.25">
      <c r="A61" s="180" t="str">
        <f>+'PRIORIZACIÓN (2)'!B64</f>
        <v>Unidad Auditable 51</v>
      </c>
      <c r="B61" s="191" t="str">
        <f>+IF('PRIORIZACIÓN (2)'!I64&gt;0%,"YA CUENTA CON PONDERACIÓN DE RIESGOS, NO DILIGENCIAR ANALISIS OCI", "DILIGENCIE ANALISIS OCI PARA ESTA UNIDAD AUDITABLE")</f>
        <v>DILIGENCIE ANALISIS OCI PARA ESTA UNIDAD AUDITABLE</v>
      </c>
      <c r="C61" s="184"/>
      <c r="D61" s="1">
        <f t="shared" si="33"/>
        <v>0</v>
      </c>
      <c r="E61" s="1"/>
      <c r="F61" s="1">
        <f t="shared" si="39"/>
        <v>0</v>
      </c>
      <c r="G61" s="185"/>
      <c r="H61" s="1">
        <f t="shared" si="35"/>
        <v>0</v>
      </c>
      <c r="I61" s="185"/>
      <c r="J61" s="1">
        <f t="shared" si="36"/>
        <v>0</v>
      </c>
      <c r="K61" s="1"/>
      <c r="L61" s="1">
        <f t="shared" si="40"/>
        <v>0</v>
      </c>
      <c r="M61" s="1"/>
      <c r="N61" s="1">
        <f t="shared" si="38"/>
        <v>0</v>
      </c>
      <c r="O61" s="1"/>
      <c r="P61" s="182">
        <f t="shared" si="41"/>
        <v>0</v>
      </c>
      <c r="Q61" s="1">
        <f t="shared" si="3"/>
        <v>0</v>
      </c>
      <c r="R61" s="1">
        <f t="shared" si="0"/>
        <v>0</v>
      </c>
      <c r="S61" s="1">
        <f t="shared" si="4"/>
        <v>0</v>
      </c>
      <c r="T61" s="1">
        <f t="shared" si="5"/>
        <v>0</v>
      </c>
      <c r="U61" s="1">
        <f t="shared" si="1"/>
        <v>0</v>
      </c>
      <c r="V61" s="1">
        <f t="shared" si="6"/>
        <v>0</v>
      </c>
      <c r="W61" s="181">
        <f t="shared" si="7"/>
        <v>0</v>
      </c>
      <c r="X61" s="5">
        <f t="shared" si="48"/>
        <v>0</v>
      </c>
      <c r="Y61" s="1">
        <f t="shared" si="49"/>
        <v>0</v>
      </c>
      <c r="Z61" s="1">
        <f t="shared" si="50"/>
        <v>0</v>
      </c>
      <c r="AA61" s="182">
        <f t="shared" si="51"/>
        <v>0</v>
      </c>
      <c r="AB61" s="5">
        <f t="shared" si="52"/>
        <v>0</v>
      </c>
      <c r="AC61" s="183" t="e">
        <f t="shared" si="53"/>
        <v>#DIV/0!</v>
      </c>
    </row>
    <row r="62" spans="1:29" ht="30" x14ac:dyDescent="0.25">
      <c r="A62" s="180" t="str">
        <f>+'PRIORIZACIÓN (2)'!B65</f>
        <v>Unidad Auditable 52</v>
      </c>
      <c r="B62" s="191" t="str">
        <f>+IF('PRIORIZACIÓN (2)'!I65&gt;0%,"YA CUENTA CON PONDERACIÓN DE RIESGOS, NO DILIGENCIAR ANALISIS OCI", "DILIGENCIE ANALISIS OCI PARA ESTA UNIDAD AUDITABLE")</f>
        <v>DILIGENCIE ANALISIS OCI PARA ESTA UNIDAD AUDITABLE</v>
      </c>
      <c r="C62" s="184"/>
      <c r="D62" s="1">
        <f t="shared" si="33"/>
        <v>0</v>
      </c>
      <c r="E62" s="1"/>
      <c r="F62" s="1">
        <f t="shared" si="39"/>
        <v>0</v>
      </c>
      <c r="G62" s="185"/>
      <c r="H62" s="1">
        <f t="shared" si="35"/>
        <v>0</v>
      </c>
      <c r="I62" s="185"/>
      <c r="J62" s="1">
        <f t="shared" si="36"/>
        <v>0</v>
      </c>
      <c r="K62" s="1"/>
      <c r="L62" s="1">
        <f t="shared" si="40"/>
        <v>0</v>
      </c>
      <c r="M62" s="1"/>
      <c r="N62" s="1">
        <f t="shared" si="38"/>
        <v>0</v>
      </c>
      <c r="O62" s="1"/>
      <c r="P62" s="182">
        <f t="shared" si="41"/>
        <v>0</v>
      </c>
      <c r="Q62" s="1">
        <f t="shared" si="3"/>
        <v>0</v>
      </c>
      <c r="R62" s="1">
        <f t="shared" si="0"/>
        <v>0</v>
      </c>
      <c r="S62" s="1">
        <f t="shared" si="4"/>
        <v>0</v>
      </c>
      <c r="T62" s="1">
        <f t="shared" si="5"/>
        <v>0</v>
      </c>
      <c r="U62" s="1">
        <f t="shared" si="1"/>
        <v>0</v>
      </c>
      <c r="V62" s="1">
        <f t="shared" si="6"/>
        <v>0</v>
      </c>
      <c r="W62" s="181">
        <f t="shared" si="7"/>
        <v>0</v>
      </c>
      <c r="X62" s="5">
        <f t="shared" si="48"/>
        <v>0</v>
      </c>
      <c r="Y62" s="1">
        <f t="shared" si="49"/>
        <v>0</v>
      </c>
      <c r="Z62" s="1">
        <f t="shared" si="50"/>
        <v>0</v>
      </c>
      <c r="AA62" s="182">
        <f t="shared" si="51"/>
        <v>0</v>
      </c>
      <c r="AB62" s="5">
        <f t="shared" si="52"/>
        <v>0</v>
      </c>
      <c r="AC62" s="183" t="e">
        <f t="shared" si="53"/>
        <v>#DIV/0!</v>
      </c>
    </row>
    <row r="63" spans="1:29" ht="30" x14ac:dyDescent="0.25">
      <c r="A63" s="180" t="str">
        <f>+'PRIORIZACIÓN (2)'!B66</f>
        <v>Unidad Auditable 53</v>
      </c>
      <c r="B63" s="191" t="str">
        <f>+IF('PRIORIZACIÓN (2)'!I66&gt;0%,"YA CUENTA CON PONDERACIÓN DE RIESGOS, NO DILIGENCIAR ANALISIS OCI", "DILIGENCIE ANALISIS OCI PARA ESTA UNIDAD AUDITABLE")</f>
        <v>DILIGENCIE ANALISIS OCI PARA ESTA UNIDAD AUDITABLE</v>
      </c>
      <c r="C63" s="184"/>
      <c r="D63" s="1">
        <f t="shared" si="33"/>
        <v>0</v>
      </c>
      <c r="E63" s="1"/>
      <c r="F63" s="1">
        <f t="shared" si="39"/>
        <v>0</v>
      </c>
      <c r="G63" s="185"/>
      <c r="H63" s="1">
        <f t="shared" si="35"/>
        <v>0</v>
      </c>
      <c r="I63" s="185"/>
      <c r="J63" s="1">
        <f t="shared" si="36"/>
        <v>0</v>
      </c>
      <c r="K63" s="1"/>
      <c r="L63" s="1">
        <f t="shared" si="40"/>
        <v>0</v>
      </c>
      <c r="M63" s="1"/>
      <c r="N63" s="1">
        <f t="shared" si="38"/>
        <v>0</v>
      </c>
      <c r="O63" s="1"/>
      <c r="P63" s="182">
        <f t="shared" si="41"/>
        <v>0</v>
      </c>
      <c r="Q63" s="1">
        <f t="shared" si="3"/>
        <v>0</v>
      </c>
      <c r="R63" s="1">
        <f t="shared" si="0"/>
        <v>0</v>
      </c>
      <c r="S63" s="1">
        <f t="shared" si="4"/>
        <v>0</v>
      </c>
      <c r="T63" s="1">
        <f t="shared" si="5"/>
        <v>0</v>
      </c>
      <c r="U63" s="1">
        <f t="shared" si="1"/>
        <v>0</v>
      </c>
      <c r="V63" s="1">
        <f t="shared" si="6"/>
        <v>0</v>
      </c>
      <c r="W63" s="181">
        <f t="shared" si="7"/>
        <v>0</v>
      </c>
      <c r="X63" s="5">
        <f t="shared" si="48"/>
        <v>0</v>
      </c>
      <c r="Y63" s="1">
        <f t="shared" si="49"/>
        <v>0</v>
      </c>
      <c r="Z63" s="1">
        <f t="shared" si="50"/>
        <v>0</v>
      </c>
      <c r="AA63" s="182">
        <f t="shared" si="51"/>
        <v>0</v>
      </c>
      <c r="AB63" s="5">
        <f t="shared" si="52"/>
        <v>0</v>
      </c>
      <c r="AC63" s="183" t="e">
        <f t="shared" si="53"/>
        <v>#DIV/0!</v>
      </c>
    </row>
    <row r="64" spans="1:29" ht="30" x14ac:dyDescent="0.25">
      <c r="A64" s="180" t="str">
        <f>+'PRIORIZACIÓN (2)'!B67</f>
        <v>Unidad Auditable 54</v>
      </c>
      <c r="B64" s="191" t="str">
        <f>+IF('PRIORIZACIÓN (2)'!I67&gt;0%,"YA CUENTA CON PONDERACIÓN DE RIESGOS, NO DILIGENCIAR ANALISIS OCI", "DILIGENCIE ANALISIS OCI PARA ESTA UNIDAD AUDITABLE")</f>
        <v>DILIGENCIE ANALISIS OCI PARA ESTA UNIDAD AUDITABLE</v>
      </c>
      <c r="C64" s="184"/>
      <c r="D64" s="1">
        <f t="shared" si="33"/>
        <v>0</v>
      </c>
      <c r="E64" s="1"/>
      <c r="F64" s="1">
        <f t="shared" si="39"/>
        <v>0</v>
      </c>
      <c r="G64" s="185"/>
      <c r="H64" s="1">
        <f t="shared" si="35"/>
        <v>0</v>
      </c>
      <c r="I64" s="185"/>
      <c r="J64" s="1">
        <f t="shared" si="36"/>
        <v>0</v>
      </c>
      <c r="K64" s="1"/>
      <c r="L64" s="1">
        <f t="shared" si="40"/>
        <v>0</v>
      </c>
      <c r="M64" s="1"/>
      <c r="N64" s="1">
        <f t="shared" si="38"/>
        <v>0</v>
      </c>
      <c r="O64" s="1"/>
      <c r="P64" s="182">
        <f t="shared" si="41"/>
        <v>0</v>
      </c>
      <c r="Q64" s="1">
        <f t="shared" si="3"/>
        <v>0</v>
      </c>
      <c r="R64" s="1">
        <f t="shared" si="0"/>
        <v>0</v>
      </c>
      <c r="S64" s="1">
        <f t="shared" si="4"/>
        <v>0</v>
      </c>
      <c r="T64" s="1">
        <f t="shared" si="5"/>
        <v>0</v>
      </c>
      <c r="U64" s="1">
        <f t="shared" si="1"/>
        <v>0</v>
      </c>
      <c r="V64" s="1">
        <f t="shared" si="6"/>
        <v>0</v>
      </c>
      <c r="W64" s="181">
        <f t="shared" si="7"/>
        <v>0</v>
      </c>
      <c r="X64" s="5">
        <f t="shared" si="48"/>
        <v>0</v>
      </c>
      <c r="Y64" s="1">
        <f t="shared" si="49"/>
        <v>0</v>
      </c>
      <c r="Z64" s="1">
        <f t="shared" si="50"/>
        <v>0</v>
      </c>
      <c r="AA64" s="182">
        <f t="shared" si="51"/>
        <v>0</v>
      </c>
      <c r="AB64" s="5">
        <f t="shared" si="52"/>
        <v>0</v>
      </c>
      <c r="AC64" s="183" t="e">
        <f t="shared" si="53"/>
        <v>#DIV/0!</v>
      </c>
    </row>
    <row r="65" spans="1:29" ht="30" x14ac:dyDescent="0.25">
      <c r="A65" s="180" t="str">
        <f>+'PRIORIZACIÓN (2)'!B68</f>
        <v>Unidad Auditable 55</v>
      </c>
      <c r="B65" s="191" t="str">
        <f>+IF('PRIORIZACIÓN (2)'!I68&gt;0%,"YA CUENTA CON PONDERACIÓN DE RIESGOS, NO DILIGENCIAR ANALISIS OCI", "DILIGENCIE ANALISIS OCI PARA ESTA UNIDAD AUDITABLE")</f>
        <v>DILIGENCIE ANALISIS OCI PARA ESTA UNIDAD AUDITABLE</v>
      </c>
      <c r="C65" s="184"/>
      <c r="D65" s="1">
        <f t="shared" si="33"/>
        <v>0</v>
      </c>
      <c r="E65" s="1"/>
      <c r="F65" s="1">
        <f t="shared" si="39"/>
        <v>0</v>
      </c>
      <c r="G65" s="185"/>
      <c r="H65" s="1">
        <f t="shared" si="35"/>
        <v>0</v>
      </c>
      <c r="I65" s="185"/>
      <c r="J65" s="1">
        <f t="shared" si="36"/>
        <v>0</v>
      </c>
      <c r="K65" s="1"/>
      <c r="L65" s="1">
        <f t="shared" si="40"/>
        <v>0</v>
      </c>
      <c r="M65" s="1"/>
      <c r="N65" s="1">
        <f t="shared" si="38"/>
        <v>0</v>
      </c>
      <c r="O65" s="1"/>
      <c r="P65" s="182">
        <f t="shared" si="41"/>
        <v>0</v>
      </c>
      <c r="Q65" s="1">
        <f t="shared" si="3"/>
        <v>0</v>
      </c>
      <c r="R65" s="1">
        <f t="shared" si="0"/>
        <v>0</v>
      </c>
      <c r="S65" s="1">
        <f t="shared" si="4"/>
        <v>0</v>
      </c>
      <c r="T65" s="1">
        <f t="shared" si="5"/>
        <v>0</v>
      </c>
      <c r="U65" s="1">
        <f t="shared" si="1"/>
        <v>0</v>
      </c>
      <c r="V65" s="1">
        <f t="shared" si="6"/>
        <v>0</v>
      </c>
      <c r="W65" s="181">
        <f t="shared" si="7"/>
        <v>0</v>
      </c>
      <c r="X65" s="5">
        <f t="shared" si="48"/>
        <v>0</v>
      </c>
      <c r="Y65" s="1">
        <f t="shared" si="49"/>
        <v>0</v>
      </c>
      <c r="Z65" s="1">
        <f t="shared" si="50"/>
        <v>0</v>
      </c>
      <c r="AA65" s="182">
        <f t="shared" si="51"/>
        <v>0</v>
      </c>
      <c r="AB65" s="5">
        <f t="shared" si="52"/>
        <v>0</v>
      </c>
      <c r="AC65" s="183" t="e">
        <f t="shared" si="53"/>
        <v>#DIV/0!</v>
      </c>
    </row>
    <row r="66" spans="1:29" ht="30" x14ac:dyDescent="0.25">
      <c r="A66" s="180" t="str">
        <f>+'PRIORIZACIÓN (2)'!B69</f>
        <v>Unidad Auditable 56</v>
      </c>
      <c r="B66" s="191" t="str">
        <f>+IF('PRIORIZACIÓN (2)'!I69&gt;0%,"YA CUENTA CON PONDERACIÓN DE RIESGOS, NO DILIGENCIAR ANALISIS OCI", "DILIGENCIE ANALISIS OCI PARA ESTA UNIDAD AUDITABLE")</f>
        <v>DILIGENCIE ANALISIS OCI PARA ESTA UNIDAD AUDITABLE</v>
      </c>
      <c r="C66" s="184"/>
      <c r="D66" s="1">
        <f t="shared" si="33"/>
        <v>0</v>
      </c>
      <c r="E66" s="1"/>
      <c r="F66" s="1">
        <f t="shared" si="39"/>
        <v>0</v>
      </c>
      <c r="G66" s="185"/>
      <c r="H66" s="1">
        <f t="shared" si="35"/>
        <v>0</v>
      </c>
      <c r="I66" s="185"/>
      <c r="J66" s="1">
        <f t="shared" si="36"/>
        <v>0</v>
      </c>
      <c r="K66" s="1"/>
      <c r="L66" s="1">
        <f t="shared" si="40"/>
        <v>0</v>
      </c>
      <c r="M66" s="1"/>
      <c r="N66" s="1">
        <f t="shared" si="38"/>
        <v>0</v>
      </c>
      <c r="O66" s="1"/>
      <c r="P66" s="182">
        <f t="shared" si="41"/>
        <v>0</v>
      </c>
      <c r="Q66" s="1">
        <f t="shared" si="3"/>
        <v>0</v>
      </c>
      <c r="R66" s="1">
        <f t="shared" si="0"/>
        <v>0</v>
      </c>
      <c r="S66" s="1">
        <f t="shared" si="4"/>
        <v>0</v>
      </c>
      <c r="T66" s="1">
        <f t="shared" si="5"/>
        <v>0</v>
      </c>
      <c r="U66" s="1">
        <f t="shared" si="1"/>
        <v>0</v>
      </c>
      <c r="V66" s="1">
        <f t="shared" si="6"/>
        <v>0</v>
      </c>
      <c r="W66" s="181">
        <f t="shared" si="7"/>
        <v>0</v>
      </c>
      <c r="X66" s="5">
        <f t="shared" si="48"/>
        <v>0</v>
      </c>
      <c r="Y66" s="1">
        <f t="shared" si="49"/>
        <v>0</v>
      </c>
      <c r="Z66" s="1">
        <f t="shared" si="50"/>
        <v>0</v>
      </c>
      <c r="AA66" s="182">
        <f t="shared" si="51"/>
        <v>0</v>
      </c>
      <c r="AB66" s="5">
        <f t="shared" si="52"/>
        <v>0</v>
      </c>
      <c r="AC66" s="183" t="e">
        <f t="shared" si="53"/>
        <v>#DIV/0!</v>
      </c>
    </row>
    <row r="67" spans="1:29" ht="30" x14ac:dyDescent="0.25">
      <c r="A67" s="180" t="str">
        <f>+'PRIORIZACIÓN (2)'!B70</f>
        <v>Unidad Auditable 57</v>
      </c>
      <c r="B67" s="191" t="str">
        <f>+IF('PRIORIZACIÓN (2)'!I70&gt;0%,"YA CUENTA CON PONDERACIÓN DE RIESGOS, NO DILIGENCIAR ANALISIS OCI", "DILIGENCIE ANALISIS OCI PARA ESTA UNIDAD AUDITABLE")</f>
        <v>DILIGENCIE ANALISIS OCI PARA ESTA UNIDAD AUDITABLE</v>
      </c>
      <c r="C67" s="184"/>
      <c r="D67" s="1">
        <f t="shared" si="33"/>
        <v>0</v>
      </c>
      <c r="E67" s="1"/>
      <c r="F67" s="1">
        <f t="shared" si="39"/>
        <v>0</v>
      </c>
      <c r="G67" s="185"/>
      <c r="H67" s="1">
        <f t="shared" si="35"/>
        <v>0</v>
      </c>
      <c r="I67" s="185"/>
      <c r="J67" s="1">
        <f t="shared" si="36"/>
        <v>0</v>
      </c>
      <c r="K67" s="1"/>
      <c r="L67" s="1">
        <f t="shared" si="40"/>
        <v>0</v>
      </c>
      <c r="M67" s="1"/>
      <c r="N67" s="1">
        <f t="shared" si="38"/>
        <v>0</v>
      </c>
      <c r="O67" s="1"/>
      <c r="P67" s="182">
        <f t="shared" si="41"/>
        <v>0</v>
      </c>
      <c r="Q67" s="1">
        <f t="shared" si="3"/>
        <v>0</v>
      </c>
      <c r="R67" s="1">
        <f t="shared" si="0"/>
        <v>0</v>
      </c>
      <c r="S67" s="1">
        <f t="shared" si="4"/>
        <v>0</v>
      </c>
      <c r="T67" s="1">
        <f t="shared" si="5"/>
        <v>0</v>
      </c>
      <c r="U67" s="1">
        <f t="shared" si="1"/>
        <v>0</v>
      </c>
      <c r="V67" s="1">
        <f t="shared" si="6"/>
        <v>0</v>
      </c>
      <c r="W67" s="181">
        <f t="shared" si="7"/>
        <v>0</v>
      </c>
      <c r="X67" s="5">
        <f t="shared" si="48"/>
        <v>0</v>
      </c>
      <c r="Y67" s="1">
        <f t="shared" si="49"/>
        <v>0</v>
      </c>
      <c r="Z67" s="1">
        <f t="shared" si="50"/>
        <v>0</v>
      </c>
      <c r="AA67" s="182">
        <f t="shared" si="51"/>
        <v>0</v>
      </c>
      <c r="AB67" s="5">
        <f t="shared" si="52"/>
        <v>0</v>
      </c>
      <c r="AC67" s="183" t="e">
        <f t="shared" si="53"/>
        <v>#DIV/0!</v>
      </c>
    </row>
    <row r="68" spans="1:29" ht="30" x14ac:dyDescent="0.25">
      <c r="A68" s="180" t="str">
        <f>+'PRIORIZACIÓN (2)'!B71</f>
        <v>Unidad Auditable 58</v>
      </c>
      <c r="B68" s="191" t="str">
        <f>+IF('PRIORIZACIÓN (2)'!I71&gt;0%,"YA CUENTA CON PONDERACIÓN DE RIESGOS, NO DILIGENCIAR ANALISIS OCI", "DILIGENCIE ANALISIS OCI PARA ESTA UNIDAD AUDITABLE")</f>
        <v>DILIGENCIE ANALISIS OCI PARA ESTA UNIDAD AUDITABLE</v>
      </c>
      <c r="C68" s="184"/>
      <c r="D68" s="1">
        <f t="shared" si="33"/>
        <v>0</v>
      </c>
      <c r="E68" s="1"/>
      <c r="F68" s="1">
        <f t="shared" si="39"/>
        <v>0</v>
      </c>
      <c r="G68" s="185"/>
      <c r="H68" s="1">
        <f t="shared" si="35"/>
        <v>0</v>
      </c>
      <c r="I68" s="185"/>
      <c r="J68" s="1">
        <f t="shared" si="36"/>
        <v>0</v>
      </c>
      <c r="K68" s="1"/>
      <c r="L68" s="1">
        <f t="shared" si="40"/>
        <v>0</v>
      </c>
      <c r="M68" s="1"/>
      <c r="N68" s="1">
        <f t="shared" si="38"/>
        <v>0</v>
      </c>
      <c r="O68" s="1"/>
      <c r="P68" s="182">
        <f t="shared" si="41"/>
        <v>0</v>
      </c>
      <c r="Q68" s="1">
        <f t="shared" si="3"/>
        <v>0</v>
      </c>
      <c r="R68" s="1">
        <f t="shared" si="0"/>
        <v>0</v>
      </c>
      <c r="S68" s="1">
        <f t="shared" si="4"/>
        <v>0</v>
      </c>
      <c r="T68" s="1">
        <f t="shared" si="5"/>
        <v>0</v>
      </c>
      <c r="U68" s="1">
        <f t="shared" si="1"/>
        <v>0</v>
      </c>
      <c r="V68" s="1">
        <f t="shared" si="6"/>
        <v>0</v>
      </c>
      <c r="W68" s="181">
        <f t="shared" si="7"/>
        <v>0</v>
      </c>
      <c r="X68" s="5">
        <f t="shared" si="48"/>
        <v>0</v>
      </c>
      <c r="Y68" s="1">
        <f t="shared" si="49"/>
        <v>0</v>
      </c>
      <c r="Z68" s="1">
        <f t="shared" si="50"/>
        <v>0</v>
      </c>
      <c r="AA68" s="182">
        <f t="shared" si="51"/>
        <v>0</v>
      </c>
      <c r="AB68" s="5">
        <f t="shared" si="52"/>
        <v>0</v>
      </c>
      <c r="AC68" s="183" t="e">
        <f t="shared" si="53"/>
        <v>#DIV/0!</v>
      </c>
    </row>
    <row r="69" spans="1:29" ht="30" x14ac:dyDescent="0.25">
      <c r="A69" s="180" t="str">
        <f>+'PRIORIZACIÓN (2)'!B72</f>
        <v>Unidad Auditable 59</v>
      </c>
      <c r="B69" s="191" t="str">
        <f>+IF('PRIORIZACIÓN (2)'!I72&gt;0%,"YA CUENTA CON PONDERACIÓN DE RIESGOS, NO DILIGENCIAR ANALISIS OCI", "DILIGENCIE ANALISIS OCI PARA ESTA UNIDAD AUDITABLE")</f>
        <v>DILIGENCIE ANALISIS OCI PARA ESTA UNIDAD AUDITABLE</v>
      </c>
      <c r="C69" s="184"/>
      <c r="D69" s="1">
        <f t="shared" si="33"/>
        <v>0</v>
      </c>
      <c r="E69" s="1"/>
      <c r="F69" s="1">
        <f t="shared" si="39"/>
        <v>0</v>
      </c>
      <c r="G69" s="185"/>
      <c r="H69" s="1">
        <f t="shared" si="35"/>
        <v>0</v>
      </c>
      <c r="I69" s="185"/>
      <c r="J69" s="1">
        <f t="shared" si="36"/>
        <v>0</v>
      </c>
      <c r="K69" s="1"/>
      <c r="L69" s="1">
        <f t="shared" si="40"/>
        <v>0</v>
      </c>
      <c r="M69" s="1"/>
      <c r="N69" s="1">
        <f t="shared" si="38"/>
        <v>0</v>
      </c>
      <c r="O69" s="1"/>
      <c r="P69" s="182">
        <f t="shared" si="41"/>
        <v>0</v>
      </c>
      <c r="Q69" s="1">
        <f t="shared" si="3"/>
        <v>0</v>
      </c>
      <c r="R69" s="1">
        <f t="shared" si="0"/>
        <v>0</v>
      </c>
      <c r="S69" s="1">
        <f t="shared" si="4"/>
        <v>0</v>
      </c>
      <c r="T69" s="1">
        <f t="shared" si="5"/>
        <v>0</v>
      </c>
      <c r="U69" s="1">
        <f t="shared" si="1"/>
        <v>0</v>
      </c>
      <c r="V69" s="1">
        <f t="shared" si="6"/>
        <v>0</v>
      </c>
      <c r="W69" s="181">
        <f t="shared" si="7"/>
        <v>0</v>
      </c>
      <c r="X69" s="5">
        <f t="shared" si="48"/>
        <v>0</v>
      </c>
      <c r="Y69" s="1">
        <f t="shared" si="49"/>
        <v>0</v>
      </c>
      <c r="Z69" s="1">
        <f t="shared" si="50"/>
        <v>0</v>
      </c>
      <c r="AA69" s="182">
        <f t="shared" si="51"/>
        <v>0</v>
      </c>
      <c r="AB69" s="5">
        <f t="shared" si="52"/>
        <v>0</v>
      </c>
      <c r="AC69" s="183" t="e">
        <f t="shared" si="53"/>
        <v>#DIV/0!</v>
      </c>
    </row>
    <row r="70" spans="1:29" ht="30" x14ac:dyDescent="0.25">
      <c r="A70" s="180" t="str">
        <f>+'PRIORIZACIÓN (2)'!B73</f>
        <v>Unidad Auditable 60</v>
      </c>
      <c r="B70" s="191" t="str">
        <f>+IF('PRIORIZACIÓN (2)'!I73&gt;0%,"YA CUENTA CON PONDERACIÓN DE RIESGOS, NO DILIGENCIAR ANALISIS OCI", "DILIGENCIE ANALISIS OCI PARA ESTA UNIDAD AUDITABLE")</f>
        <v>DILIGENCIE ANALISIS OCI PARA ESTA UNIDAD AUDITABLE</v>
      </c>
      <c r="C70" s="184"/>
      <c r="D70" s="1">
        <f t="shared" si="33"/>
        <v>0</v>
      </c>
      <c r="E70" s="1"/>
      <c r="F70" s="1">
        <f t="shared" si="39"/>
        <v>0</v>
      </c>
      <c r="G70" s="185"/>
      <c r="H70" s="1">
        <f t="shared" si="35"/>
        <v>0</v>
      </c>
      <c r="I70" s="185"/>
      <c r="J70" s="1">
        <f t="shared" si="36"/>
        <v>0</v>
      </c>
      <c r="K70" s="1"/>
      <c r="L70" s="1">
        <f t="shared" si="40"/>
        <v>0</v>
      </c>
      <c r="M70" s="1"/>
      <c r="N70" s="1">
        <f t="shared" si="38"/>
        <v>0</v>
      </c>
      <c r="O70" s="1"/>
      <c r="P70" s="182">
        <f t="shared" si="41"/>
        <v>0</v>
      </c>
      <c r="Q70" s="1">
        <f t="shared" si="3"/>
        <v>0</v>
      </c>
      <c r="R70" s="1">
        <f t="shared" si="0"/>
        <v>0</v>
      </c>
      <c r="S70" s="1">
        <f t="shared" si="4"/>
        <v>0</v>
      </c>
      <c r="T70" s="1">
        <f t="shared" si="5"/>
        <v>0</v>
      </c>
      <c r="U70" s="1">
        <f t="shared" si="1"/>
        <v>0</v>
      </c>
      <c r="V70" s="1">
        <f t="shared" si="6"/>
        <v>0</v>
      </c>
      <c r="W70" s="181">
        <f t="shared" si="7"/>
        <v>0</v>
      </c>
      <c r="X70" s="5">
        <f t="shared" si="48"/>
        <v>0</v>
      </c>
      <c r="Y70" s="1">
        <f t="shared" si="49"/>
        <v>0</v>
      </c>
      <c r="Z70" s="1">
        <f t="shared" si="50"/>
        <v>0</v>
      </c>
      <c r="AA70" s="182">
        <f t="shared" si="51"/>
        <v>0</v>
      </c>
      <c r="AB70" s="5">
        <f t="shared" si="52"/>
        <v>0</v>
      </c>
      <c r="AC70" s="183" t="e">
        <f t="shared" si="53"/>
        <v>#DIV/0!</v>
      </c>
    </row>
    <row r="71" spans="1:29" ht="30" x14ac:dyDescent="0.25">
      <c r="A71" s="180" t="str">
        <f>+'PRIORIZACIÓN (2)'!B74</f>
        <v>Unidad Auditable 61</v>
      </c>
      <c r="B71" s="191" t="str">
        <f>+IF('PRIORIZACIÓN (2)'!I74&gt;0%,"YA CUENTA CON PONDERACIÓN DE RIESGOS, NO DILIGENCIAR ANALISIS OCI", "DILIGENCIE ANALISIS OCI PARA ESTA UNIDAD AUDITABLE")</f>
        <v>DILIGENCIE ANALISIS OCI PARA ESTA UNIDAD AUDITABLE</v>
      </c>
      <c r="C71" s="184"/>
      <c r="D71" s="1">
        <f t="shared" si="33"/>
        <v>0</v>
      </c>
      <c r="E71" s="1"/>
      <c r="F71" s="1">
        <f t="shared" si="39"/>
        <v>0</v>
      </c>
      <c r="G71" s="185"/>
      <c r="H71" s="1">
        <f t="shared" si="35"/>
        <v>0</v>
      </c>
      <c r="I71" s="185"/>
      <c r="J71" s="1">
        <f t="shared" si="36"/>
        <v>0</v>
      </c>
      <c r="K71" s="1"/>
      <c r="L71" s="1">
        <f t="shared" si="40"/>
        <v>0</v>
      </c>
      <c r="M71" s="1"/>
      <c r="N71" s="1">
        <f t="shared" si="38"/>
        <v>0</v>
      </c>
      <c r="O71" s="1"/>
      <c r="P71" s="182">
        <f t="shared" si="41"/>
        <v>0</v>
      </c>
      <c r="Q71" s="1">
        <f t="shared" si="3"/>
        <v>0</v>
      </c>
      <c r="R71" s="1">
        <f t="shared" si="0"/>
        <v>0</v>
      </c>
      <c r="S71" s="1">
        <f t="shared" si="4"/>
        <v>0</v>
      </c>
      <c r="T71" s="1">
        <f t="shared" si="5"/>
        <v>0</v>
      </c>
      <c r="U71" s="1">
        <f t="shared" si="1"/>
        <v>0</v>
      </c>
      <c r="V71" s="1">
        <f t="shared" si="6"/>
        <v>0</v>
      </c>
      <c r="W71" s="181">
        <f t="shared" si="7"/>
        <v>0</v>
      </c>
      <c r="X71" s="5">
        <f t="shared" si="48"/>
        <v>0</v>
      </c>
      <c r="Y71" s="1">
        <f t="shared" si="49"/>
        <v>0</v>
      </c>
      <c r="Z71" s="1">
        <f t="shared" si="50"/>
        <v>0</v>
      </c>
      <c r="AA71" s="182">
        <f t="shared" si="51"/>
        <v>0</v>
      </c>
      <c r="AB71" s="5">
        <f t="shared" si="52"/>
        <v>0</v>
      </c>
      <c r="AC71" s="183" t="e">
        <f t="shared" si="53"/>
        <v>#DIV/0!</v>
      </c>
    </row>
    <row r="72" spans="1:29" ht="30" x14ac:dyDescent="0.25">
      <c r="A72" s="180" t="str">
        <f>+'PRIORIZACIÓN (2)'!B75</f>
        <v>Unidad Auditable 62</v>
      </c>
      <c r="B72" s="191" t="str">
        <f>+IF('PRIORIZACIÓN (2)'!I75&gt;0%,"YA CUENTA CON PONDERACIÓN DE RIESGOS, NO DILIGENCIAR ANALISIS OCI", "DILIGENCIE ANALISIS OCI PARA ESTA UNIDAD AUDITABLE")</f>
        <v>DILIGENCIE ANALISIS OCI PARA ESTA UNIDAD AUDITABLE</v>
      </c>
      <c r="C72" s="184"/>
      <c r="D72" s="1">
        <f t="shared" si="33"/>
        <v>0</v>
      </c>
      <c r="E72" s="1"/>
      <c r="F72" s="1">
        <f t="shared" si="39"/>
        <v>0</v>
      </c>
      <c r="G72" s="185"/>
      <c r="H72" s="1">
        <f t="shared" si="35"/>
        <v>0</v>
      </c>
      <c r="I72" s="185"/>
      <c r="J72" s="1">
        <f t="shared" si="36"/>
        <v>0</v>
      </c>
      <c r="K72" s="1"/>
      <c r="L72" s="1">
        <f t="shared" si="40"/>
        <v>0</v>
      </c>
      <c r="M72" s="1"/>
      <c r="N72" s="1">
        <f t="shared" si="38"/>
        <v>0</v>
      </c>
      <c r="O72" s="1"/>
      <c r="P72" s="182">
        <f t="shared" si="41"/>
        <v>0</v>
      </c>
      <c r="Q72" s="1">
        <f t="shared" si="3"/>
        <v>0</v>
      </c>
      <c r="R72" s="1">
        <f t="shared" si="0"/>
        <v>0</v>
      </c>
      <c r="S72" s="1">
        <f t="shared" si="4"/>
        <v>0</v>
      </c>
      <c r="T72" s="1">
        <f t="shared" si="5"/>
        <v>0</v>
      </c>
      <c r="U72" s="1">
        <f t="shared" si="1"/>
        <v>0</v>
      </c>
      <c r="V72" s="1">
        <f t="shared" si="6"/>
        <v>0</v>
      </c>
      <c r="W72" s="181">
        <f t="shared" si="7"/>
        <v>0</v>
      </c>
      <c r="X72" s="5">
        <f t="shared" si="48"/>
        <v>0</v>
      </c>
      <c r="Y72" s="1">
        <f t="shared" si="49"/>
        <v>0</v>
      </c>
      <c r="Z72" s="1">
        <f t="shared" si="50"/>
        <v>0</v>
      </c>
      <c r="AA72" s="182">
        <f t="shared" si="51"/>
        <v>0</v>
      </c>
      <c r="AB72" s="5">
        <f t="shared" si="52"/>
        <v>0</v>
      </c>
      <c r="AC72" s="183" t="e">
        <f t="shared" si="53"/>
        <v>#DIV/0!</v>
      </c>
    </row>
    <row r="73" spans="1:29" ht="30" x14ac:dyDescent="0.25">
      <c r="A73" s="180" t="str">
        <f>+'PRIORIZACIÓN (2)'!B76</f>
        <v>Unidad Auditable 63</v>
      </c>
      <c r="B73" s="191" t="str">
        <f>+IF('PRIORIZACIÓN (2)'!I76&gt;0%,"YA CUENTA CON PONDERACIÓN DE RIESGOS, NO DILIGENCIAR ANALISIS OCI", "DILIGENCIE ANALISIS OCI PARA ESTA UNIDAD AUDITABLE")</f>
        <v>DILIGENCIE ANALISIS OCI PARA ESTA UNIDAD AUDITABLE</v>
      </c>
      <c r="C73" s="184"/>
      <c r="D73" s="1">
        <f t="shared" si="33"/>
        <v>0</v>
      </c>
      <c r="E73" s="1"/>
      <c r="F73" s="1">
        <f t="shared" si="39"/>
        <v>0</v>
      </c>
      <c r="G73" s="185"/>
      <c r="H73" s="1">
        <f t="shared" si="35"/>
        <v>0</v>
      </c>
      <c r="I73" s="185"/>
      <c r="J73" s="1">
        <f t="shared" si="36"/>
        <v>0</v>
      </c>
      <c r="K73" s="1"/>
      <c r="L73" s="1">
        <f t="shared" si="40"/>
        <v>0</v>
      </c>
      <c r="M73" s="1"/>
      <c r="N73" s="1">
        <f t="shared" si="38"/>
        <v>0</v>
      </c>
      <c r="O73" s="1"/>
      <c r="P73" s="182">
        <f t="shared" si="41"/>
        <v>0</v>
      </c>
      <c r="Q73" s="1">
        <f t="shared" si="3"/>
        <v>0</v>
      </c>
      <c r="R73" s="1">
        <f t="shared" ref="R73:R88" si="54">IF($E73="3 días","E",IF($E73="2 días","A",IF($E73="1 días","M",IF($E73="Varias horas","B",0))))</f>
        <v>0</v>
      </c>
      <c r="S73" s="1">
        <f t="shared" si="4"/>
        <v>0</v>
      </c>
      <c r="T73" s="1">
        <f t="shared" si="5"/>
        <v>0</v>
      </c>
      <c r="U73" s="1">
        <f t="shared" ref="U73:U88" si="55">IF($K73="Hechos de Corrupción","E",IF($K73="Incumplimiento de servicios","A",IF($K73="Retrasos en los servicios","M",IF($K73="Quejas por incumplimientos o retrasos","B",0))))</f>
        <v>0</v>
      </c>
      <c r="V73" s="1">
        <f t="shared" si="6"/>
        <v>0</v>
      </c>
      <c r="W73" s="181">
        <f t="shared" si="7"/>
        <v>0</v>
      </c>
      <c r="X73" s="5">
        <f t="shared" si="48"/>
        <v>0</v>
      </c>
      <c r="Y73" s="1">
        <f t="shared" si="49"/>
        <v>0</v>
      </c>
      <c r="Z73" s="1">
        <f t="shared" si="50"/>
        <v>0</v>
      </c>
      <c r="AA73" s="182">
        <f t="shared" si="51"/>
        <v>0</v>
      </c>
      <c r="AB73" s="5">
        <f t="shared" si="52"/>
        <v>0</v>
      </c>
      <c r="AC73" s="183" t="e">
        <f t="shared" si="53"/>
        <v>#DIV/0!</v>
      </c>
    </row>
    <row r="74" spans="1:29" ht="30" x14ac:dyDescent="0.25">
      <c r="A74" s="180" t="str">
        <f>+'PRIORIZACIÓN (2)'!B77</f>
        <v>Unidad Auditable 64</v>
      </c>
      <c r="B74" s="191" t="str">
        <f>+IF('PRIORIZACIÓN (2)'!I77&gt;0%,"YA CUENTA CON PONDERACIÓN DE RIESGOS, NO DILIGENCIAR ANALISIS OCI", "DILIGENCIE ANALISIS OCI PARA ESTA UNIDAD AUDITABLE")</f>
        <v>DILIGENCIE ANALISIS OCI PARA ESTA UNIDAD AUDITABLE</v>
      </c>
      <c r="C74" s="184"/>
      <c r="D74" s="1">
        <f t="shared" ref="D74:D88" si="56">IF($C74="EXTREMA","E",IF($C74="ALTA","A",IF($C74="MEDIA","M",IF($C74="BAJA","B",0))))</f>
        <v>0</v>
      </c>
      <c r="E74" s="1"/>
      <c r="F74" s="1">
        <f t="shared" si="39"/>
        <v>0</v>
      </c>
      <c r="G74" s="185"/>
      <c r="H74" s="1">
        <f t="shared" ref="H74:H88" si="57">IF($G74="EXTREMA","E",IF($G74="ALTA","A",IF($G74="MEDIA","M",IF($G74="BAJA","B",0))))</f>
        <v>0</v>
      </c>
      <c r="I74" s="185"/>
      <c r="J74" s="1">
        <f t="shared" ref="J74:J88" si="58">IF($I74="EXTREMA","E",IF($I74="ALTA","A",IF($I74="MEDIA","M",IF($I74="BAJA","B",0))))</f>
        <v>0</v>
      </c>
      <c r="K74" s="1"/>
      <c r="L74" s="1">
        <f t="shared" si="40"/>
        <v>0</v>
      </c>
      <c r="M74" s="1"/>
      <c r="N74" s="1">
        <f t="shared" ref="N74:N88" si="59">IF($M74="EXTREMA","E",IF($M74="ALTA","A",IF($M74="MEDIA","M",IF($M74="BAJA","B",0))))</f>
        <v>0</v>
      </c>
      <c r="O74" s="1"/>
      <c r="P74" s="182">
        <f t="shared" si="41"/>
        <v>0</v>
      </c>
      <c r="Q74" s="1">
        <f t="shared" ref="Q74:Q88" si="60">IF($C74="EXTREMA","E",IF($C74="ALTA","A",IF($C74="MEDIA","M",IF($C74="BAJA","B",0))))</f>
        <v>0</v>
      </c>
      <c r="R74" s="1">
        <f t="shared" si="54"/>
        <v>0</v>
      </c>
      <c r="S74" s="1">
        <f t="shared" ref="S74:S88" si="61">IF($G74="EXTREMA","E",IF($G74="ALTA","A",IF($G74="MEDIA","M",IF($G74="BAJA","B",0))))</f>
        <v>0</v>
      </c>
      <c r="T74" s="1">
        <f t="shared" ref="T74:T88" si="62">IF($I74="EXTREMA","E",IF($I74="ALTA","A",IF($I74="MEDIA","M",IF($I74="BAJA","B",0))))</f>
        <v>0</v>
      </c>
      <c r="U74" s="1">
        <f t="shared" si="55"/>
        <v>0</v>
      </c>
      <c r="V74" s="1">
        <f t="shared" ref="V74:V88" si="63">IF($M74="EXTREMA","E",IF($M74="ALTA","A",IF($M74="MEDIA","M",IF($M74="BAJA","B",0))))</f>
        <v>0</v>
      </c>
      <c r="W74" s="181">
        <f t="shared" ref="W74:W88" si="64">IF($O74="Critica no recuperable","E",IF($O74="Critica con recuperación parcial","A",IF($O74="Falta de oportunidad para atención usuarios","M",IF($O74="Falta de oportunidad para gestión de los procesos","B",0))))</f>
        <v>0</v>
      </c>
      <c r="X74" s="5">
        <f t="shared" si="48"/>
        <v>0</v>
      </c>
      <c r="Y74" s="1">
        <f t="shared" si="49"/>
        <v>0</v>
      </c>
      <c r="Z74" s="1">
        <f t="shared" si="50"/>
        <v>0</v>
      </c>
      <c r="AA74" s="182">
        <f t="shared" si="51"/>
        <v>0</v>
      </c>
      <c r="AB74" s="5">
        <f t="shared" si="52"/>
        <v>0</v>
      </c>
      <c r="AC74" s="183" t="e">
        <f t="shared" si="53"/>
        <v>#DIV/0!</v>
      </c>
    </row>
    <row r="75" spans="1:29" ht="30" x14ac:dyDescent="0.25">
      <c r="A75" s="180" t="str">
        <f>+'PRIORIZACIÓN (2)'!B78</f>
        <v>Unidad Auditable 65</v>
      </c>
      <c r="B75" s="191" t="str">
        <f>+IF('PRIORIZACIÓN (2)'!I78&gt;0%,"YA CUENTA CON PONDERACIÓN DE RIESGOS, NO DILIGENCIAR ANALISIS OCI", "DILIGENCIE ANALISIS OCI PARA ESTA UNIDAD AUDITABLE")</f>
        <v>DILIGENCIE ANALISIS OCI PARA ESTA UNIDAD AUDITABLE</v>
      </c>
      <c r="C75" s="184"/>
      <c r="D75" s="1">
        <f t="shared" si="56"/>
        <v>0</v>
      </c>
      <c r="E75" s="1"/>
      <c r="F75" s="1">
        <f t="shared" si="39"/>
        <v>0</v>
      </c>
      <c r="G75" s="185"/>
      <c r="H75" s="1">
        <f t="shared" si="57"/>
        <v>0</v>
      </c>
      <c r="I75" s="185"/>
      <c r="J75" s="1">
        <f t="shared" si="58"/>
        <v>0</v>
      </c>
      <c r="K75" s="1"/>
      <c r="L75" s="1">
        <f t="shared" si="40"/>
        <v>0</v>
      </c>
      <c r="M75" s="1"/>
      <c r="N75" s="1">
        <f t="shared" si="59"/>
        <v>0</v>
      </c>
      <c r="O75" s="1"/>
      <c r="P75" s="182">
        <f t="shared" si="41"/>
        <v>0</v>
      </c>
      <c r="Q75" s="1">
        <f t="shared" si="60"/>
        <v>0</v>
      </c>
      <c r="R75" s="1">
        <f t="shared" si="54"/>
        <v>0</v>
      </c>
      <c r="S75" s="1">
        <f t="shared" si="61"/>
        <v>0</v>
      </c>
      <c r="T75" s="1">
        <f t="shared" si="62"/>
        <v>0</v>
      </c>
      <c r="U75" s="1">
        <f t="shared" si="55"/>
        <v>0</v>
      </c>
      <c r="V75" s="1">
        <f t="shared" si="63"/>
        <v>0</v>
      </c>
      <c r="W75" s="181">
        <f t="shared" si="64"/>
        <v>0</v>
      </c>
      <c r="X75" s="5">
        <f t="shared" si="48"/>
        <v>0</v>
      </c>
      <c r="Y75" s="1">
        <f t="shared" si="49"/>
        <v>0</v>
      </c>
      <c r="Z75" s="1">
        <f t="shared" si="50"/>
        <v>0</v>
      </c>
      <c r="AA75" s="182">
        <f t="shared" si="51"/>
        <v>0</v>
      </c>
      <c r="AB75" s="5">
        <f t="shared" si="52"/>
        <v>0</v>
      </c>
      <c r="AC75" s="183" t="e">
        <f t="shared" si="53"/>
        <v>#DIV/0!</v>
      </c>
    </row>
    <row r="76" spans="1:29" ht="30" x14ac:dyDescent="0.25">
      <c r="A76" s="180" t="str">
        <f>+'PRIORIZACIÓN (2)'!B79</f>
        <v>Unidad Auditable 66</v>
      </c>
      <c r="B76" s="191" t="str">
        <f>+IF('PRIORIZACIÓN (2)'!I79&gt;0%,"YA CUENTA CON PONDERACIÓN DE RIESGOS, NO DILIGENCIAR ANALISIS OCI", "DILIGENCIE ANALISIS OCI PARA ESTA UNIDAD AUDITABLE")</f>
        <v>DILIGENCIE ANALISIS OCI PARA ESTA UNIDAD AUDITABLE</v>
      </c>
      <c r="C76" s="184"/>
      <c r="D76" s="1">
        <f t="shared" si="56"/>
        <v>0</v>
      </c>
      <c r="E76" s="1"/>
      <c r="F76" s="1">
        <f t="shared" si="39"/>
        <v>0</v>
      </c>
      <c r="G76" s="185"/>
      <c r="H76" s="1">
        <f t="shared" si="57"/>
        <v>0</v>
      </c>
      <c r="I76" s="185"/>
      <c r="J76" s="1">
        <f t="shared" si="58"/>
        <v>0</v>
      </c>
      <c r="K76" s="1"/>
      <c r="L76" s="1">
        <f t="shared" si="40"/>
        <v>0</v>
      </c>
      <c r="M76" s="1"/>
      <c r="N76" s="1">
        <f t="shared" si="59"/>
        <v>0</v>
      </c>
      <c r="O76" s="1"/>
      <c r="P76" s="182">
        <f t="shared" si="41"/>
        <v>0</v>
      </c>
      <c r="Q76" s="1">
        <f t="shared" si="60"/>
        <v>0</v>
      </c>
      <c r="R76" s="1">
        <f t="shared" si="54"/>
        <v>0</v>
      </c>
      <c r="S76" s="1">
        <f t="shared" si="61"/>
        <v>0</v>
      </c>
      <c r="T76" s="1">
        <f t="shared" si="62"/>
        <v>0</v>
      </c>
      <c r="U76" s="1">
        <f t="shared" si="55"/>
        <v>0</v>
      </c>
      <c r="V76" s="1">
        <f t="shared" si="63"/>
        <v>0</v>
      </c>
      <c r="W76" s="181">
        <f t="shared" si="64"/>
        <v>0</v>
      </c>
      <c r="X76" s="5">
        <f t="shared" si="48"/>
        <v>0</v>
      </c>
      <c r="Y76" s="1">
        <f t="shared" si="49"/>
        <v>0</v>
      </c>
      <c r="Z76" s="1">
        <f t="shared" si="50"/>
        <v>0</v>
      </c>
      <c r="AA76" s="182">
        <f t="shared" si="51"/>
        <v>0</v>
      </c>
      <c r="AB76" s="5">
        <f t="shared" si="52"/>
        <v>0</v>
      </c>
      <c r="AC76" s="183" t="e">
        <f t="shared" si="53"/>
        <v>#DIV/0!</v>
      </c>
    </row>
    <row r="77" spans="1:29" ht="30" x14ac:dyDescent="0.25">
      <c r="A77" s="180" t="str">
        <f>+'PRIORIZACIÓN (2)'!B80</f>
        <v>Unidad Auditable 67</v>
      </c>
      <c r="B77" s="191" t="str">
        <f>+IF('PRIORIZACIÓN (2)'!I80&gt;0%,"YA CUENTA CON PONDERACIÓN DE RIESGOS, NO DILIGENCIAR ANALISIS OCI", "DILIGENCIE ANALISIS OCI PARA ESTA UNIDAD AUDITABLE")</f>
        <v>DILIGENCIE ANALISIS OCI PARA ESTA UNIDAD AUDITABLE</v>
      </c>
      <c r="C77" s="184"/>
      <c r="D77" s="1">
        <f t="shared" si="56"/>
        <v>0</v>
      </c>
      <c r="E77" s="1"/>
      <c r="F77" s="1">
        <f t="shared" si="39"/>
        <v>0</v>
      </c>
      <c r="G77" s="185"/>
      <c r="H77" s="1">
        <f t="shared" si="57"/>
        <v>0</v>
      </c>
      <c r="I77" s="185"/>
      <c r="J77" s="1">
        <f t="shared" si="58"/>
        <v>0</v>
      </c>
      <c r="K77" s="1"/>
      <c r="L77" s="1">
        <f t="shared" si="40"/>
        <v>0</v>
      </c>
      <c r="M77" s="1"/>
      <c r="N77" s="1">
        <f t="shared" si="59"/>
        <v>0</v>
      </c>
      <c r="O77" s="1"/>
      <c r="P77" s="182">
        <f t="shared" si="41"/>
        <v>0</v>
      </c>
      <c r="Q77" s="1">
        <f t="shared" si="60"/>
        <v>0</v>
      </c>
      <c r="R77" s="1">
        <f t="shared" si="54"/>
        <v>0</v>
      </c>
      <c r="S77" s="1">
        <f t="shared" si="61"/>
        <v>0</v>
      </c>
      <c r="T77" s="1">
        <f t="shared" si="62"/>
        <v>0</v>
      </c>
      <c r="U77" s="1">
        <f t="shared" si="55"/>
        <v>0</v>
      </c>
      <c r="V77" s="1">
        <f t="shared" si="63"/>
        <v>0</v>
      </c>
      <c r="W77" s="181">
        <f t="shared" si="64"/>
        <v>0</v>
      </c>
      <c r="X77" s="5">
        <f t="shared" si="48"/>
        <v>0</v>
      </c>
      <c r="Y77" s="1">
        <f t="shared" si="49"/>
        <v>0</v>
      </c>
      <c r="Z77" s="1">
        <f t="shared" si="50"/>
        <v>0</v>
      </c>
      <c r="AA77" s="182">
        <f t="shared" si="51"/>
        <v>0</v>
      </c>
      <c r="AB77" s="5">
        <f t="shared" si="52"/>
        <v>0</v>
      </c>
      <c r="AC77" s="183" t="e">
        <f t="shared" si="53"/>
        <v>#DIV/0!</v>
      </c>
    </row>
    <row r="78" spans="1:29" ht="30" x14ac:dyDescent="0.25">
      <c r="A78" s="180" t="str">
        <f>+'PRIORIZACIÓN (2)'!B81</f>
        <v>Unidad Auditable 68</v>
      </c>
      <c r="B78" s="191" t="str">
        <f>+IF('PRIORIZACIÓN (2)'!I81&gt;0%,"YA CUENTA CON PONDERACIÓN DE RIESGOS, NO DILIGENCIAR ANALISIS OCI", "DILIGENCIE ANALISIS OCI PARA ESTA UNIDAD AUDITABLE")</f>
        <v>DILIGENCIE ANALISIS OCI PARA ESTA UNIDAD AUDITABLE</v>
      </c>
      <c r="C78" s="184"/>
      <c r="D78" s="1">
        <f t="shared" si="56"/>
        <v>0</v>
      </c>
      <c r="E78" s="1"/>
      <c r="F78" s="1">
        <f t="shared" si="39"/>
        <v>0</v>
      </c>
      <c r="G78" s="185"/>
      <c r="H78" s="1">
        <f t="shared" si="57"/>
        <v>0</v>
      </c>
      <c r="I78" s="185"/>
      <c r="J78" s="1">
        <f t="shared" si="58"/>
        <v>0</v>
      </c>
      <c r="K78" s="1"/>
      <c r="L78" s="1">
        <f t="shared" si="40"/>
        <v>0</v>
      </c>
      <c r="M78" s="1"/>
      <c r="N78" s="1">
        <f t="shared" si="59"/>
        <v>0</v>
      </c>
      <c r="O78" s="1"/>
      <c r="P78" s="182">
        <f t="shared" si="41"/>
        <v>0</v>
      </c>
      <c r="Q78" s="1">
        <f t="shared" si="60"/>
        <v>0</v>
      </c>
      <c r="R78" s="1">
        <f t="shared" si="54"/>
        <v>0</v>
      </c>
      <c r="S78" s="1">
        <f t="shared" si="61"/>
        <v>0</v>
      </c>
      <c r="T78" s="1">
        <f t="shared" si="62"/>
        <v>0</v>
      </c>
      <c r="U78" s="1">
        <f t="shared" si="55"/>
        <v>0</v>
      </c>
      <c r="V78" s="1">
        <f t="shared" si="63"/>
        <v>0</v>
      </c>
      <c r="W78" s="181">
        <f t="shared" si="64"/>
        <v>0</v>
      </c>
      <c r="X78" s="5">
        <f t="shared" si="48"/>
        <v>0</v>
      </c>
      <c r="Y78" s="1">
        <f t="shared" si="49"/>
        <v>0</v>
      </c>
      <c r="Z78" s="1">
        <f t="shared" si="50"/>
        <v>0</v>
      </c>
      <c r="AA78" s="182">
        <f t="shared" si="51"/>
        <v>0</v>
      </c>
      <c r="AB78" s="5">
        <f t="shared" si="52"/>
        <v>0</v>
      </c>
      <c r="AC78" s="183" t="e">
        <f t="shared" si="53"/>
        <v>#DIV/0!</v>
      </c>
    </row>
    <row r="79" spans="1:29" ht="30" x14ac:dyDescent="0.25">
      <c r="A79" s="180" t="str">
        <f>+'PRIORIZACIÓN (2)'!B82</f>
        <v>Unidad Auditable 69</v>
      </c>
      <c r="B79" s="191" t="str">
        <f>+IF('PRIORIZACIÓN (2)'!I82&gt;0%,"YA CUENTA CON PONDERACIÓN DE RIESGOS, NO DILIGENCIAR ANALISIS OCI", "DILIGENCIE ANALISIS OCI PARA ESTA UNIDAD AUDITABLE")</f>
        <v>DILIGENCIE ANALISIS OCI PARA ESTA UNIDAD AUDITABLE</v>
      </c>
      <c r="C79" s="184"/>
      <c r="D79" s="1">
        <f t="shared" si="56"/>
        <v>0</v>
      </c>
      <c r="E79" s="1"/>
      <c r="F79" s="1">
        <f t="shared" si="39"/>
        <v>0</v>
      </c>
      <c r="G79" s="185"/>
      <c r="H79" s="1">
        <f t="shared" si="57"/>
        <v>0</v>
      </c>
      <c r="I79" s="185"/>
      <c r="J79" s="1">
        <f t="shared" si="58"/>
        <v>0</v>
      </c>
      <c r="K79" s="1"/>
      <c r="L79" s="1">
        <f t="shared" si="40"/>
        <v>0</v>
      </c>
      <c r="M79" s="1"/>
      <c r="N79" s="1">
        <f t="shared" si="59"/>
        <v>0</v>
      </c>
      <c r="O79" s="1"/>
      <c r="P79" s="182">
        <f t="shared" si="41"/>
        <v>0</v>
      </c>
      <c r="Q79" s="1">
        <f t="shared" si="60"/>
        <v>0</v>
      </c>
      <c r="R79" s="1">
        <f t="shared" si="54"/>
        <v>0</v>
      </c>
      <c r="S79" s="1">
        <f t="shared" si="61"/>
        <v>0</v>
      </c>
      <c r="T79" s="1">
        <f t="shared" si="62"/>
        <v>0</v>
      </c>
      <c r="U79" s="1">
        <f t="shared" si="55"/>
        <v>0</v>
      </c>
      <c r="V79" s="1">
        <f t="shared" si="63"/>
        <v>0</v>
      </c>
      <c r="W79" s="181">
        <f t="shared" si="64"/>
        <v>0</v>
      </c>
      <c r="X79" s="5">
        <f t="shared" si="48"/>
        <v>0</v>
      </c>
      <c r="Y79" s="1">
        <f t="shared" si="49"/>
        <v>0</v>
      </c>
      <c r="Z79" s="1">
        <f t="shared" si="50"/>
        <v>0</v>
      </c>
      <c r="AA79" s="182">
        <f t="shared" si="51"/>
        <v>0</v>
      </c>
      <c r="AB79" s="5">
        <f t="shared" si="52"/>
        <v>0</v>
      </c>
      <c r="AC79" s="183" t="e">
        <f t="shared" si="53"/>
        <v>#DIV/0!</v>
      </c>
    </row>
    <row r="80" spans="1:29" ht="30" x14ac:dyDescent="0.25">
      <c r="A80" s="180" t="str">
        <f>+'PRIORIZACIÓN (2)'!B83</f>
        <v>Unidad Auditable 70</v>
      </c>
      <c r="B80" s="191" t="str">
        <f>+IF('PRIORIZACIÓN (2)'!I83&gt;0%,"YA CUENTA CON PONDERACIÓN DE RIESGOS, NO DILIGENCIAR ANALISIS OCI", "DILIGENCIE ANALISIS OCI PARA ESTA UNIDAD AUDITABLE")</f>
        <v>DILIGENCIE ANALISIS OCI PARA ESTA UNIDAD AUDITABLE</v>
      </c>
      <c r="C80" s="184"/>
      <c r="D80" s="1">
        <f t="shared" si="56"/>
        <v>0</v>
      </c>
      <c r="E80" s="1"/>
      <c r="F80" s="1">
        <f t="shared" si="39"/>
        <v>0</v>
      </c>
      <c r="G80" s="185"/>
      <c r="H80" s="1">
        <f t="shared" si="57"/>
        <v>0</v>
      </c>
      <c r="I80" s="185"/>
      <c r="J80" s="1">
        <f t="shared" si="58"/>
        <v>0</v>
      </c>
      <c r="K80" s="1"/>
      <c r="L80" s="1">
        <f t="shared" si="40"/>
        <v>0</v>
      </c>
      <c r="M80" s="1"/>
      <c r="N80" s="1">
        <f t="shared" si="59"/>
        <v>0</v>
      </c>
      <c r="O80" s="1"/>
      <c r="P80" s="182">
        <f t="shared" si="41"/>
        <v>0</v>
      </c>
      <c r="Q80" s="1">
        <f t="shared" si="60"/>
        <v>0</v>
      </c>
      <c r="R80" s="1">
        <f t="shared" si="54"/>
        <v>0</v>
      </c>
      <c r="S80" s="1">
        <f t="shared" si="61"/>
        <v>0</v>
      </c>
      <c r="T80" s="1">
        <f t="shared" si="62"/>
        <v>0</v>
      </c>
      <c r="U80" s="1">
        <f t="shared" si="55"/>
        <v>0</v>
      </c>
      <c r="V80" s="1">
        <f t="shared" si="63"/>
        <v>0</v>
      </c>
      <c r="W80" s="181">
        <f t="shared" si="64"/>
        <v>0</v>
      </c>
      <c r="X80" s="5">
        <f t="shared" si="48"/>
        <v>0</v>
      </c>
      <c r="Y80" s="1">
        <f t="shared" si="49"/>
        <v>0</v>
      </c>
      <c r="Z80" s="1">
        <f t="shared" si="50"/>
        <v>0</v>
      </c>
      <c r="AA80" s="182">
        <f t="shared" si="51"/>
        <v>0</v>
      </c>
      <c r="AB80" s="5">
        <f t="shared" si="52"/>
        <v>0</v>
      </c>
      <c r="AC80" s="183" t="e">
        <f t="shared" si="53"/>
        <v>#DIV/0!</v>
      </c>
    </row>
    <row r="81" spans="1:29" ht="30" x14ac:dyDescent="0.25">
      <c r="A81" s="180" t="str">
        <f>+'PRIORIZACIÓN (2)'!B84</f>
        <v>Unidad Auditable 71</v>
      </c>
      <c r="B81" s="191" t="str">
        <f>+IF('PRIORIZACIÓN (2)'!I84&gt;0%,"YA CUENTA CON PONDERACIÓN DE RIESGOS, NO DILIGENCIAR ANALISIS OCI", "DILIGENCIE ANALISIS OCI PARA ESTA UNIDAD AUDITABLE")</f>
        <v>DILIGENCIE ANALISIS OCI PARA ESTA UNIDAD AUDITABLE</v>
      </c>
      <c r="C81" s="184"/>
      <c r="D81" s="1">
        <f t="shared" si="56"/>
        <v>0</v>
      </c>
      <c r="E81" s="1"/>
      <c r="F81" s="1">
        <f t="shared" si="39"/>
        <v>0</v>
      </c>
      <c r="G81" s="185"/>
      <c r="H81" s="1">
        <f t="shared" si="57"/>
        <v>0</v>
      </c>
      <c r="I81" s="185"/>
      <c r="J81" s="1">
        <f t="shared" si="58"/>
        <v>0</v>
      </c>
      <c r="K81" s="1"/>
      <c r="L81" s="1">
        <f t="shared" si="40"/>
        <v>0</v>
      </c>
      <c r="M81" s="1"/>
      <c r="N81" s="1">
        <f t="shared" si="59"/>
        <v>0</v>
      </c>
      <c r="O81" s="1"/>
      <c r="P81" s="182">
        <f t="shared" si="41"/>
        <v>0</v>
      </c>
      <c r="Q81" s="1">
        <f t="shared" si="60"/>
        <v>0</v>
      </c>
      <c r="R81" s="1">
        <f t="shared" si="54"/>
        <v>0</v>
      </c>
      <c r="S81" s="1">
        <f t="shared" si="61"/>
        <v>0</v>
      </c>
      <c r="T81" s="1">
        <f t="shared" si="62"/>
        <v>0</v>
      </c>
      <c r="U81" s="1">
        <f t="shared" si="55"/>
        <v>0</v>
      </c>
      <c r="V81" s="1">
        <f t="shared" si="63"/>
        <v>0</v>
      </c>
      <c r="W81" s="181">
        <f t="shared" si="64"/>
        <v>0</v>
      </c>
      <c r="X81" s="5">
        <f t="shared" si="48"/>
        <v>0</v>
      </c>
      <c r="Y81" s="1">
        <f t="shared" si="49"/>
        <v>0</v>
      </c>
      <c r="Z81" s="1">
        <f t="shared" si="50"/>
        <v>0</v>
      </c>
      <c r="AA81" s="182">
        <f t="shared" si="51"/>
        <v>0</v>
      </c>
      <c r="AB81" s="5">
        <f t="shared" si="52"/>
        <v>0</v>
      </c>
      <c r="AC81" s="183" t="e">
        <f t="shared" si="53"/>
        <v>#DIV/0!</v>
      </c>
    </row>
    <row r="82" spans="1:29" ht="30" x14ac:dyDescent="0.25">
      <c r="A82" s="180" t="str">
        <f>+'PRIORIZACIÓN (2)'!B85</f>
        <v>Unidad Auditable 72</v>
      </c>
      <c r="B82" s="191" t="str">
        <f>+IF('PRIORIZACIÓN (2)'!I85&gt;0%,"YA CUENTA CON PONDERACIÓN DE RIESGOS, NO DILIGENCIAR ANALISIS OCI", "DILIGENCIE ANALISIS OCI PARA ESTA UNIDAD AUDITABLE")</f>
        <v>DILIGENCIE ANALISIS OCI PARA ESTA UNIDAD AUDITABLE</v>
      </c>
      <c r="C82" s="184"/>
      <c r="D82" s="1">
        <f t="shared" si="56"/>
        <v>0</v>
      </c>
      <c r="E82" s="1"/>
      <c r="F82" s="1">
        <f t="shared" si="39"/>
        <v>0</v>
      </c>
      <c r="G82" s="185"/>
      <c r="H82" s="1">
        <f t="shared" si="57"/>
        <v>0</v>
      </c>
      <c r="I82" s="185"/>
      <c r="J82" s="1">
        <f t="shared" si="58"/>
        <v>0</v>
      </c>
      <c r="K82" s="1"/>
      <c r="L82" s="1">
        <f t="shared" si="40"/>
        <v>0</v>
      </c>
      <c r="M82" s="1"/>
      <c r="N82" s="1">
        <f t="shared" si="59"/>
        <v>0</v>
      </c>
      <c r="O82" s="1"/>
      <c r="P82" s="182">
        <f t="shared" si="41"/>
        <v>0</v>
      </c>
      <c r="Q82" s="1">
        <f t="shared" si="60"/>
        <v>0</v>
      </c>
      <c r="R82" s="1">
        <f t="shared" si="54"/>
        <v>0</v>
      </c>
      <c r="S82" s="1">
        <f t="shared" si="61"/>
        <v>0</v>
      </c>
      <c r="T82" s="1">
        <f t="shared" si="62"/>
        <v>0</v>
      </c>
      <c r="U82" s="1">
        <f t="shared" si="55"/>
        <v>0</v>
      </c>
      <c r="V82" s="1">
        <f t="shared" si="63"/>
        <v>0</v>
      </c>
      <c r="W82" s="181">
        <f t="shared" si="64"/>
        <v>0</v>
      </c>
      <c r="X82" s="5">
        <f t="shared" si="48"/>
        <v>0</v>
      </c>
      <c r="Y82" s="1">
        <f t="shared" si="49"/>
        <v>0</v>
      </c>
      <c r="Z82" s="1">
        <f t="shared" si="50"/>
        <v>0</v>
      </c>
      <c r="AA82" s="182">
        <f t="shared" si="51"/>
        <v>0</v>
      </c>
      <c r="AB82" s="5">
        <f t="shared" si="52"/>
        <v>0</v>
      </c>
      <c r="AC82" s="183" t="e">
        <f t="shared" si="53"/>
        <v>#DIV/0!</v>
      </c>
    </row>
    <row r="83" spans="1:29" ht="30" x14ac:dyDescent="0.25">
      <c r="A83" s="180" t="str">
        <f>+'PRIORIZACIÓN (2)'!B86</f>
        <v>Unidad Auditable 73</v>
      </c>
      <c r="B83" s="191" t="str">
        <f>+IF('PRIORIZACIÓN (2)'!I86&gt;0%,"YA CUENTA CON PONDERACIÓN DE RIESGOS, NO DILIGENCIAR ANALISIS OCI", "DILIGENCIE ANALISIS OCI PARA ESTA UNIDAD AUDITABLE")</f>
        <v>DILIGENCIE ANALISIS OCI PARA ESTA UNIDAD AUDITABLE</v>
      </c>
      <c r="C83" s="184"/>
      <c r="D83" s="1">
        <f t="shared" si="56"/>
        <v>0</v>
      </c>
      <c r="E83" s="1"/>
      <c r="F83" s="1">
        <f t="shared" si="39"/>
        <v>0</v>
      </c>
      <c r="G83" s="185"/>
      <c r="H83" s="1">
        <f t="shared" si="57"/>
        <v>0</v>
      </c>
      <c r="I83" s="185"/>
      <c r="J83" s="1">
        <f t="shared" si="58"/>
        <v>0</v>
      </c>
      <c r="K83" s="1"/>
      <c r="L83" s="1">
        <f t="shared" si="40"/>
        <v>0</v>
      </c>
      <c r="M83" s="1"/>
      <c r="N83" s="1">
        <f t="shared" si="59"/>
        <v>0</v>
      </c>
      <c r="O83" s="1"/>
      <c r="P83" s="182">
        <f t="shared" si="41"/>
        <v>0</v>
      </c>
      <c r="Q83" s="1">
        <f t="shared" si="60"/>
        <v>0</v>
      </c>
      <c r="R83" s="1">
        <f t="shared" si="54"/>
        <v>0</v>
      </c>
      <c r="S83" s="1">
        <f t="shared" si="61"/>
        <v>0</v>
      </c>
      <c r="T83" s="1">
        <f t="shared" si="62"/>
        <v>0</v>
      </c>
      <c r="U83" s="1">
        <f t="shared" si="55"/>
        <v>0</v>
      </c>
      <c r="V83" s="1">
        <f t="shared" si="63"/>
        <v>0</v>
      </c>
      <c r="W83" s="181">
        <f t="shared" si="64"/>
        <v>0</v>
      </c>
      <c r="X83" s="5">
        <f t="shared" si="48"/>
        <v>0</v>
      </c>
      <c r="Y83" s="1">
        <f t="shared" si="49"/>
        <v>0</v>
      </c>
      <c r="Z83" s="1">
        <f t="shared" si="50"/>
        <v>0</v>
      </c>
      <c r="AA83" s="182">
        <f t="shared" si="51"/>
        <v>0</v>
      </c>
      <c r="AB83" s="5">
        <f t="shared" si="52"/>
        <v>0</v>
      </c>
      <c r="AC83" s="183" t="e">
        <f t="shared" si="53"/>
        <v>#DIV/0!</v>
      </c>
    </row>
    <row r="84" spans="1:29" ht="30" x14ac:dyDescent="0.25">
      <c r="A84" s="180" t="str">
        <f>+'PRIORIZACIÓN (2)'!B87</f>
        <v>Unidad Auditable 74</v>
      </c>
      <c r="B84" s="191" t="str">
        <f>+IF('PRIORIZACIÓN (2)'!I87&gt;0%,"YA CUENTA CON PONDERACIÓN DE RIESGOS, NO DILIGENCIAR ANALISIS OCI", "DILIGENCIE ANALISIS OCI PARA ESTA UNIDAD AUDITABLE")</f>
        <v>DILIGENCIE ANALISIS OCI PARA ESTA UNIDAD AUDITABLE</v>
      </c>
      <c r="C84" s="184"/>
      <c r="D84" s="1">
        <f t="shared" si="56"/>
        <v>0</v>
      </c>
      <c r="E84" s="1"/>
      <c r="F84" s="1">
        <f t="shared" si="39"/>
        <v>0</v>
      </c>
      <c r="G84" s="185"/>
      <c r="H84" s="1">
        <f t="shared" si="57"/>
        <v>0</v>
      </c>
      <c r="I84" s="185"/>
      <c r="J84" s="1">
        <f t="shared" si="58"/>
        <v>0</v>
      </c>
      <c r="K84" s="1"/>
      <c r="L84" s="1">
        <f t="shared" si="40"/>
        <v>0</v>
      </c>
      <c r="M84" s="1"/>
      <c r="N84" s="1">
        <f t="shared" si="59"/>
        <v>0</v>
      </c>
      <c r="O84" s="1"/>
      <c r="P84" s="182">
        <f t="shared" si="41"/>
        <v>0</v>
      </c>
      <c r="Q84" s="1">
        <f t="shared" si="60"/>
        <v>0</v>
      </c>
      <c r="R84" s="1">
        <f t="shared" si="54"/>
        <v>0</v>
      </c>
      <c r="S84" s="1">
        <f t="shared" si="61"/>
        <v>0</v>
      </c>
      <c r="T84" s="1">
        <f t="shared" si="62"/>
        <v>0</v>
      </c>
      <c r="U84" s="1">
        <f t="shared" si="55"/>
        <v>0</v>
      </c>
      <c r="V84" s="1">
        <f t="shared" si="63"/>
        <v>0</v>
      </c>
      <c r="W84" s="181">
        <f t="shared" si="64"/>
        <v>0</v>
      </c>
      <c r="X84" s="5">
        <f t="shared" si="48"/>
        <v>0</v>
      </c>
      <c r="Y84" s="1">
        <f t="shared" si="49"/>
        <v>0</v>
      </c>
      <c r="Z84" s="1">
        <f t="shared" si="50"/>
        <v>0</v>
      </c>
      <c r="AA84" s="182">
        <f t="shared" si="51"/>
        <v>0</v>
      </c>
      <c r="AB84" s="5">
        <f t="shared" si="52"/>
        <v>0</v>
      </c>
      <c r="AC84" s="183" t="e">
        <f t="shared" si="53"/>
        <v>#DIV/0!</v>
      </c>
    </row>
    <row r="85" spans="1:29" ht="30" x14ac:dyDescent="0.25">
      <c r="A85" s="180" t="str">
        <f>+'PRIORIZACIÓN (2)'!B88</f>
        <v>Unidad Auditable 75</v>
      </c>
      <c r="B85" s="191" t="str">
        <f>+IF('PRIORIZACIÓN (2)'!I88&gt;0%,"YA CUENTA CON PONDERACIÓN DE RIESGOS, NO DILIGENCIAR ANALISIS OCI", "DILIGENCIE ANALISIS OCI PARA ESTA UNIDAD AUDITABLE")</f>
        <v>DILIGENCIE ANALISIS OCI PARA ESTA UNIDAD AUDITABLE</v>
      </c>
      <c r="C85" s="184"/>
      <c r="D85" s="1">
        <f t="shared" si="56"/>
        <v>0</v>
      </c>
      <c r="E85" s="1"/>
      <c r="F85" s="1">
        <f t="shared" si="39"/>
        <v>0</v>
      </c>
      <c r="G85" s="185"/>
      <c r="H85" s="1">
        <f t="shared" si="57"/>
        <v>0</v>
      </c>
      <c r="I85" s="185"/>
      <c r="J85" s="1">
        <f t="shared" si="58"/>
        <v>0</v>
      </c>
      <c r="K85" s="1"/>
      <c r="L85" s="1">
        <f t="shared" si="40"/>
        <v>0</v>
      </c>
      <c r="M85" s="1"/>
      <c r="N85" s="1">
        <f t="shared" si="59"/>
        <v>0</v>
      </c>
      <c r="O85" s="1"/>
      <c r="P85" s="182">
        <f t="shared" si="41"/>
        <v>0</v>
      </c>
      <c r="Q85" s="1">
        <f t="shared" si="60"/>
        <v>0</v>
      </c>
      <c r="R85" s="1">
        <f t="shared" si="54"/>
        <v>0</v>
      </c>
      <c r="S85" s="1">
        <f t="shared" si="61"/>
        <v>0</v>
      </c>
      <c r="T85" s="1">
        <f t="shared" si="62"/>
        <v>0</v>
      </c>
      <c r="U85" s="1">
        <f t="shared" si="55"/>
        <v>0</v>
      </c>
      <c r="V85" s="1">
        <f t="shared" si="63"/>
        <v>0</v>
      </c>
      <c r="W85" s="181">
        <f t="shared" si="64"/>
        <v>0</v>
      </c>
      <c r="X85" s="5">
        <f t="shared" si="48"/>
        <v>0</v>
      </c>
      <c r="Y85" s="1">
        <f t="shared" si="49"/>
        <v>0</v>
      </c>
      <c r="Z85" s="1">
        <f t="shared" si="50"/>
        <v>0</v>
      </c>
      <c r="AA85" s="182">
        <f t="shared" si="51"/>
        <v>0</v>
      </c>
      <c r="AB85" s="5">
        <f t="shared" si="52"/>
        <v>0</v>
      </c>
      <c r="AC85" s="183" t="e">
        <f t="shared" si="53"/>
        <v>#DIV/0!</v>
      </c>
    </row>
    <row r="86" spans="1:29" ht="30" x14ac:dyDescent="0.25">
      <c r="A86" s="180" t="str">
        <f>+'PRIORIZACIÓN (2)'!B89</f>
        <v>Unidad Auditable 76</v>
      </c>
      <c r="B86" s="191" t="str">
        <f>+IF('PRIORIZACIÓN (2)'!I89&gt;0%,"YA CUENTA CON PONDERACIÓN DE RIESGOS, NO DILIGENCIAR ANALISIS OCI", "DILIGENCIE ANALISIS OCI PARA ESTA UNIDAD AUDITABLE")</f>
        <v>DILIGENCIE ANALISIS OCI PARA ESTA UNIDAD AUDITABLE</v>
      </c>
      <c r="C86" s="184"/>
      <c r="D86" s="1">
        <f t="shared" si="56"/>
        <v>0</v>
      </c>
      <c r="E86" s="1"/>
      <c r="F86" s="1">
        <f t="shared" si="39"/>
        <v>0</v>
      </c>
      <c r="G86" s="185"/>
      <c r="H86" s="1">
        <f t="shared" si="57"/>
        <v>0</v>
      </c>
      <c r="I86" s="185"/>
      <c r="J86" s="1">
        <f t="shared" si="58"/>
        <v>0</v>
      </c>
      <c r="K86" s="1"/>
      <c r="L86" s="1">
        <f t="shared" si="40"/>
        <v>0</v>
      </c>
      <c r="M86" s="1"/>
      <c r="N86" s="1">
        <f t="shared" si="59"/>
        <v>0</v>
      </c>
      <c r="O86" s="1"/>
      <c r="P86" s="182">
        <f t="shared" si="41"/>
        <v>0</v>
      </c>
      <c r="Q86" s="1">
        <f t="shared" si="60"/>
        <v>0</v>
      </c>
      <c r="R86" s="1">
        <f t="shared" si="54"/>
        <v>0</v>
      </c>
      <c r="S86" s="1">
        <f t="shared" si="61"/>
        <v>0</v>
      </c>
      <c r="T86" s="1">
        <f t="shared" si="62"/>
        <v>0</v>
      </c>
      <c r="U86" s="1">
        <f t="shared" si="55"/>
        <v>0</v>
      </c>
      <c r="V86" s="1">
        <f t="shared" si="63"/>
        <v>0</v>
      </c>
      <c r="W86" s="181">
        <f t="shared" si="64"/>
        <v>0</v>
      </c>
      <c r="X86" s="5">
        <f t="shared" si="48"/>
        <v>0</v>
      </c>
      <c r="Y86" s="1">
        <f t="shared" si="49"/>
        <v>0</v>
      </c>
      <c r="Z86" s="1">
        <f t="shared" si="50"/>
        <v>0</v>
      </c>
      <c r="AA86" s="182">
        <f t="shared" si="51"/>
        <v>0</v>
      </c>
      <c r="AB86" s="5">
        <f t="shared" si="52"/>
        <v>0</v>
      </c>
      <c r="AC86" s="183" t="e">
        <f t="shared" si="53"/>
        <v>#DIV/0!</v>
      </c>
    </row>
    <row r="87" spans="1:29" ht="30" x14ac:dyDescent="0.25">
      <c r="A87" s="180" t="str">
        <f>+'PRIORIZACIÓN (2)'!B90</f>
        <v>Unidad Auditable 77</v>
      </c>
      <c r="B87" s="191" t="str">
        <f>+IF('PRIORIZACIÓN (2)'!I90&gt;0%,"YA CUENTA CON PONDERACIÓN DE RIESGOS, NO DILIGENCIAR ANALISIS OCI", "DILIGENCIE ANALISIS OCI PARA ESTA UNIDAD AUDITABLE")</f>
        <v>DILIGENCIE ANALISIS OCI PARA ESTA UNIDAD AUDITABLE</v>
      </c>
      <c r="C87" s="184"/>
      <c r="D87" s="1">
        <f t="shared" si="56"/>
        <v>0</v>
      </c>
      <c r="E87" s="1"/>
      <c r="F87" s="1">
        <f t="shared" si="39"/>
        <v>0</v>
      </c>
      <c r="G87" s="185"/>
      <c r="H87" s="1">
        <f t="shared" si="57"/>
        <v>0</v>
      </c>
      <c r="I87" s="185"/>
      <c r="J87" s="1">
        <f t="shared" si="58"/>
        <v>0</v>
      </c>
      <c r="K87" s="1"/>
      <c r="L87" s="1">
        <f t="shared" si="40"/>
        <v>0</v>
      </c>
      <c r="M87" s="1"/>
      <c r="N87" s="1">
        <f t="shared" si="59"/>
        <v>0</v>
      </c>
      <c r="O87" s="1"/>
      <c r="P87" s="182">
        <f t="shared" si="41"/>
        <v>0</v>
      </c>
      <c r="Q87" s="1">
        <f t="shared" si="60"/>
        <v>0</v>
      </c>
      <c r="R87" s="1">
        <f t="shared" si="54"/>
        <v>0</v>
      </c>
      <c r="S87" s="1">
        <f t="shared" si="61"/>
        <v>0</v>
      </c>
      <c r="T87" s="1">
        <f t="shared" si="62"/>
        <v>0</v>
      </c>
      <c r="U87" s="1">
        <f t="shared" si="55"/>
        <v>0</v>
      </c>
      <c r="V87" s="1">
        <f t="shared" si="63"/>
        <v>0</v>
      </c>
      <c r="W87" s="181">
        <f t="shared" si="64"/>
        <v>0</v>
      </c>
      <c r="X87" s="5">
        <f t="shared" si="48"/>
        <v>0</v>
      </c>
      <c r="Y87" s="1">
        <f t="shared" si="49"/>
        <v>0</v>
      </c>
      <c r="Z87" s="1">
        <f t="shared" si="50"/>
        <v>0</v>
      </c>
      <c r="AA87" s="182">
        <f t="shared" si="51"/>
        <v>0</v>
      </c>
      <c r="AB87" s="5">
        <f t="shared" si="52"/>
        <v>0</v>
      </c>
      <c r="AC87" s="183" t="e">
        <f t="shared" si="53"/>
        <v>#DIV/0!</v>
      </c>
    </row>
    <row r="88" spans="1:29" ht="30" x14ac:dyDescent="0.25">
      <c r="A88" s="180" t="str">
        <f>+'PRIORIZACIÓN (2)'!B91</f>
        <v>Unidad Auditable 78</v>
      </c>
      <c r="B88" s="191" t="str">
        <f>+IF('PRIORIZACIÓN (2)'!I91&gt;0%,"YA CUENTA CON PONDERACIÓN DE RIESGOS, NO DILIGENCIAR ANALISIS OCI", "DILIGENCIE ANALISIS OCI PARA ESTA UNIDAD AUDITABLE")</f>
        <v>DILIGENCIE ANALISIS OCI PARA ESTA UNIDAD AUDITABLE</v>
      </c>
      <c r="C88" s="184"/>
      <c r="D88" s="1">
        <f t="shared" si="56"/>
        <v>0</v>
      </c>
      <c r="E88" s="1"/>
      <c r="F88" s="1">
        <f t="shared" si="39"/>
        <v>0</v>
      </c>
      <c r="G88" s="185"/>
      <c r="H88" s="1">
        <f t="shared" si="57"/>
        <v>0</v>
      </c>
      <c r="I88" s="185"/>
      <c r="J88" s="1">
        <f t="shared" si="58"/>
        <v>0</v>
      </c>
      <c r="K88" s="1"/>
      <c r="L88" s="1">
        <f t="shared" si="40"/>
        <v>0</v>
      </c>
      <c r="M88" s="1"/>
      <c r="N88" s="1">
        <f t="shared" si="59"/>
        <v>0</v>
      </c>
      <c r="O88" s="1"/>
      <c r="P88" s="182">
        <f t="shared" si="41"/>
        <v>0</v>
      </c>
      <c r="Q88" s="1">
        <f t="shared" si="60"/>
        <v>0</v>
      </c>
      <c r="R88" s="1">
        <f t="shared" si="54"/>
        <v>0</v>
      </c>
      <c r="S88" s="1">
        <f t="shared" si="61"/>
        <v>0</v>
      </c>
      <c r="T88" s="1">
        <f t="shared" si="62"/>
        <v>0</v>
      </c>
      <c r="U88" s="1">
        <f t="shared" si="55"/>
        <v>0</v>
      </c>
      <c r="V88" s="1">
        <f t="shared" si="63"/>
        <v>0</v>
      </c>
      <c r="W88" s="181">
        <f t="shared" si="64"/>
        <v>0</v>
      </c>
      <c r="X88" s="5">
        <f t="shared" si="48"/>
        <v>0</v>
      </c>
      <c r="Y88" s="1">
        <f t="shared" si="49"/>
        <v>0</v>
      </c>
      <c r="Z88" s="1">
        <f t="shared" si="50"/>
        <v>0</v>
      </c>
      <c r="AA88" s="182">
        <f t="shared" si="51"/>
        <v>0</v>
      </c>
      <c r="AB88" s="5">
        <f t="shared" si="52"/>
        <v>0</v>
      </c>
      <c r="AC88" s="183" t="e">
        <f t="shared" si="53"/>
        <v>#DIV/0!</v>
      </c>
    </row>
    <row r="96" spans="1:29" x14ac:dyDescent="0.25">
      <c r="A96" s="192" t="s">
        <v>357</v>
      </c>
      <c r="B96" s="193" t="s">
        <v>358</v>
      </c>
      <c r="C96" s="193" t="s">
        <v>359</v>
      </c>
    </row>
    <row r="97" spans="1:3" x14ac:dyDescent="0.25">
      <c r="A97" s="1" t="s">
        <v>366</v>
      </c>
      <c r="B97" s="194">
        <v>0</v>
      </c>
      <c r="C97" s="195" t="s">
        <v>360</v>
      </c>
    </row>
    <row r="98" spans="1:3" x14ac:dyDescent="0.25">
      <c r="A98" s="1" t="s">
        <v>367</v>
      </c>
      <c r="B98" s="195" t="s">
        <v>361</v>
      </c>
      <c r="C98" s="195" t="s">
        <v>362</v>
      </c>
    </row>
    <row r="99" spans="1:3" x14ac:dyDescent="0.25">
      <c r="A99" s="1" t="s">
        <v>368</v>
      </c>
      <c r="B99" s="195" t="s">
        <v>363</v>
      </c>
      <c r="C99" s="195" t="s">
        <v>364</v>
      </c>
    </row>
    <row r="100" spans="1:3" x14ac:dyDescent="0.25">
      <c r="A100" s="1" t="s">
        <v>369</v>
      </c>
      <c r="B100" s="195" t="s">
        <v>365</v>
      </c>
      <c r="C100" s="196"/>
    </row>
  </sheetData>
  <mergeCells count="36">
    <mergeCell ref="A2:A5"/>
    <mergeCell ref="C2:O5"/>
    <mergeCell ref="AA2:AC5"/>
    <mergeCell ref="Q2:Z2"/>
    <mergeCell ref="Q3:Z3"/>
    <mergeCell ref="Q4:Z4"/>
    <mergeCell ref="Q5:Z5"/>
    <mergeCell ref="R7:R8"/>
    <mergeCell ref="S7:S8"/>
    <mergeCell ref="T7:T8"/>
    <mergeCell ref="U7:U8"/>
    <mergeCell ref="A7:A8"/>
    <mergeCell ref="C7:D7"/>
    <mergeCell ref="E7:F7"/>
    <mergeCell ref="G7:H7"/>
    <mergeCell ref="I7:J7"/>
    <mergeCell ref="K7:L7"/>
    <mergeCell ref="M7:N7"/>
    <mergeCell ref="O7:P7"/>
    <mergeCell ref="B7:B8"/>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s>
  <conditionalFormatting sqref="B9:B88">
    <cfRule type="cellIs" dxfId="49" priority="140" operator="equal">
      <formula>$AI$10</formula>
    </cfRule>
    <cfRule type="cellIs" dxfId="48" priority="143" operator="equal">
      <formula>$AI$9</formula>
    </cfRule>
  </conditionalFormatting>
  <conditionalFormatting sqref="C9:O88">
    <cfRule type="expression" dxfId="47" priority="1">
      <formula>"(B9=""YA CUENTA CON PONDERACION DE RIESGOS, NO DILIGENCIARANALISIS;B9)"</formula>
    </cfRule>
  </conditionalFormatting>
  <conditionalFormatting sqref="D9:O11">
    <cfRule type="expression" dxfId="46" priority="3">
      <formula>"(B9=""YA CUENTA CON PONDERACION DE RIESGOS, NO DILIGENCIARANALISIS;B9)"</formula>
    </cfRule>
  </conditionalFormatting>
  <conditionalFormatting sqref="D14:O14">
    <cfRule type="expression" dxfId="45" priority="2">
      <formula>"(B9=""YA CUENTA CON PONDERACION DE RIESGOS, NO DILIGENCIARANALISIS;B9)"</formula>
    </cfRule>
  </conditionalFormatting>
  <conditionalFormatting sqref="D17:O17">
    <cfRule type="expression" dxfId="44" priority="42">
      <formula>"(B9=""YA CUENTA CON PONDERACION DE RIESGOS, NO DILIGENCIARANALISIS;B9)"</formula>
    </cfRule>
  </conditionalFormatting>
  <conditionalFormatting sqref="D28:O28">
    <cfRule type="expression" dxfId="43" priority="14">
      <formula>"(B9=""YA CUENTA CON PONDERACION DE RIESGOS, NO DILIGENCIARANALISIS;B9)"</formula>
    </cfRule>
  </conditionalFormatting>
  <conditionalFormatting sqref="Q9:V88">
    <cfRule type="expression" dxfId="42" priority="128">
      <formula>"(B9=""YA CUENTA CON PONDERACION DE RIESGOS, NO DILIGENCIARANALISIS;B9)"</formula>
    </cfRule>
  </conditionalFormatting>
  <conditionalFormatting sqref="AC9:AC88">
    <cfRule type="containsText" dxfId="41" priority="155" operator="containsText" text="Moderado">
      <formula>NOT(ISERROR(SEARCH(("Moderado"),(AC9))))</formula>
    </cfRule>
    <cfRule type="containsText" dxfId="40" priority="156" operator="containsText" text="Alto">
      <formula>NOT(ISERROR(SEARCH(("Alto"),(AC9))))</formula>
    </cfRule>
    <cfRule type="containsText" dxfId="39" priority="157" operator="containsText" text="Muy Alto">
      <formula>NOT(ISERROR(SEARCH(("Muy Alto"),(AC9))))</formula>
    </cfRule>
    <cfRule type="containsText" dxfId="38" priority="158" operator="containsText" text="Muy Bajo">
      <formula>NOT(ISERROR(SEARCH(("Muy Bajo"),(AC9))))</formula>
    </cfRule>
    <cfRule type="containsText" dxfId="37" priority="159" operator="containsText" text="Bajo">
      <formula>NOT(ISERROR(SEARCH(("Bajo"),(AC9))))</formula>
    </cfRule>
    <cfRule type="containsText" dxfId="36" priority="160" operator="containsText" text="Extremo">
      <formula>NOT(ISERROR(SEARCH(("Extremo"),(AC9))))</formula>
    </cfRule>
  </conditionalFormatting>
  <conditionalFormatting sqref="AC24:AC25">
    <cfRule type="containsText" dxfId="35" priority="149" operator="containsText" text="Moderado">
      <formula>NOT(ISERROR(SEARCH(("Moderado"),(AC24))))</formula>
    </cfRule>
    <cfRule type="containsText" dxfId="34" priority="150" operator="containsText" text="Alto">
      <formula>NOT(ISERROR(SEARCH(("Alto"),(AC24))))</formula>
    </cfRule>
    <cfRule type="containsText" dxfId="33" priority="151" operator="containsText" text="Muy Alto">
      <formula>NOT(ISERROR(SEARCH(("Muy Alto"),(AC24))))</formula>
    </cfRule>
    <cfRule type="containsText" dxfId="32" priority="152" operator="containsText" text="Muy Bajo">
      <formula>NOT(ISERROR(SEARCH(("Muy Bajo"),(AC24))))</formula>
    </cfRule>
    <cfRule type="containsText" dxfId="31" priority="153" operator="containsText" text="Bajo">
      <formula>NOT(ISERROR(SEARCH(("Bajo"),(AC24))))</formula>
    </cfRule>
    <cfRule type="containsText" dxfId="30" priority="154" operator="containsText" text="Extremo">
      <formula>NOT(ISERROR(SEARCH(("Extremo"),(AC24))))</formula>
    </cfRule>
  </conditionalFormatting>
  <dataValidations count="4">
    <dataValidation type="list" allowBlank="1" showInputMessage="1" showErrorMessage="1" sqref="O9:O88">
      <formula1>"Critica no recuperable, Critica con recuperación parcial, Falta de oportunidad para atención usuarios, Falta de oportunidad para gestión de los procesos"</formula1>
    </dataValidation>
    <dataValidation type="list" allowBlank="1" showInputMessage="1" showErrorMessage="1" sqref="K9:K88">
      <formula1>"Hechos de Corrupción, Incumplimiento de servicios, Retrasos en los servicios, Quejas por incumplimientos o retrasos"</formula1>
    </dataValidation>
    <dataValidation type="list" allowBlank="1" showInputMessage="1" showErrorMessage="1" sqref="E9:E88">
      <formula1>"3 días,2 días, 1 día, Varias horas"</formula1>
    </dataValidation>
    <dataValidation type="list" allowBlank="1" showInputMessage="1" showErrorMessage="1" sqref="I9:I88 G9:G88 C9:C88 M9:M88">
      <formula1>$A$97:$A$100</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MENU CAJA DE HERRAMIENTAS</vt:lpstr>
      <vt:lpstr>Resumen PAA 2022</vt:lpstr>
      <vt:lpstr>Organigrama</vt:lpstr>
      <vt:lpstr>GLOSARIO</vt:lpstr>
      <vt:lpstr>MIPPA 1</vt:lpstr>
      <vt:lpstr>CONOCIMIENTO ENT</vt:lpstr>
      <vt:lpstr>PRIORIZACIÓN (2)</vt:lpstr>
      <vt:lpstr>MIPPA 1.1</vt:lpstr>
      <vt:lpstr>ANALISIS OCI</vt:lpstr>
      <vt:lpstr>MET CALCULO RECURSOS</vt:lpstr>
      <vt:lpstr>1. Horas requeridas PAAI</vt:lpstr>
      <vt:lpstr>MIPPA 2</vt:lpstr>
      <vt:lpstr>PRIORIZACIÓN</vt:lpstr>
      <vt:lpstr>2. Días -horas hábiles x vig</vt:lpstr>
      <vt:lpstr>Adquisiciones</vt:lpstr>
      <vt:lpstr>PAA OCI  </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jjempresarial sas jjempresarial sas</cp:lastModifiedBy>
  <cp:lastPrinted>2022-12-14T12:18:26Z</cp:lastPrinted>
  <dcterms:created xsi:type="dcterms:W3CDTF">2019-03-03T03:38:53Z</dcterms:created>
  <dcterms:modified xsi:type="dcterms:W3CDTF">2023-05-18T21:16:44Z</dcterms:modified>
</cp:coreProperties>
</file>